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drawings/drawing2.xml" ContentType="application/vnd.openxmlformats-officedocument.drawing+xml"/>
  <Override PartName="/xl/customProperty2.bin" ContentType="application/vnd.openxmlformats-officedocument.spreadsheetml.customProperty"/>
  <Override PartName="/xl/drawings/drawing3.xml" ContentType="application/vnd.openxmlformats-officedocument.drawing+xml"/>
  <Override PartName="/xl/customProperty3.bin" ContentType="application/vnd.openxmlformats-officedocument.spreadsheetml.customProperty"/>
  <Override PartName="/xl/drawings/drawing4.xml" ContentType="application/vnd.openxmlformats-officedocument.drawing+xml"/>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bentelergroup-my.sharepoint.com/personal/thorsten_schneider_benteler_com/Documents/SFC/"/>
    </mc:Choice>
  </mc:AlternateContent>
  <xr:revisionPtr revIDLastSave="21" documentId="8_{AFEEDDCA-52CE-4A00-9182-94D4FEF9DB91}" xr6:coauthVersionLast="47" xr6:coauthVersionMax="47" xr10:uidLastSave="{2BAC2B50-4F92-4C93-BE46-814734EFD372}"/>
  <bookViews>
    <workbookView xWindow="-28920" yWindow="-120" windowWidth="29040" windowHeight="16440" tabRatio="849" xr2:uid="{00000000-000D-0000-FFFF-FFFF00000000}"/>
  </bookViews>
  <sheets>
    <sheet name="Data Protection Information" sheetId="27" r:id="rId1"/>
    <sheet name="Explanation" sheetId="25" r:id="rId2"/>
    <sheet name="Company Profile" sheetId="1" r:id="rId3"/>
    <sheet name="Supplier Approval Form" sheetId="23" r:id="rId4"/>
    <sheet name="Language table" sheetId="19" state="hidden" r:id="rId5"/>
    <sheet name="Revison list" sheetId="28" state="hidden" r:id="rId6"/>
  </sheets>
  <definedNames>
    <definedName name="_xlnm._FilterDatabase" localSheetId="5" hidden="1">'Revison list'!$A$1:$F$72</definedName>
    <definedName name="Approval">'Language table'!$B$8:$E$8</definedName>
    <definedName name="BPC">'Language table'!$W$10:$Y$190</definedName>
    <definedName name="Conditions">'Language table'!$E$19:$E$24</definedName>
    <definedName name="Country">'Language table'!$W$9:$W$190</definedName>
    <definedName name="CScat">'Language table'!$E$59:$E$62</definedName>
    <definedName name="Currency">'Language table'!$U$9:$U$200</definedName>
    <definedName name="CyberSecurity">'Language table'!$E$36:$E$43</definedName>
    <definedName name="Decision">'Language table'!$E$29:$E$32</definedName>
    <definedName name="_xlnm.Print_Area" localSheetId="2">'Company Profile'!$A$1:$K$78</definedName>
    <definedName name="_xlnm.Print_Area" localSheetId="0">'Data Protection Information'!$A$1:$W$151</definedName>
    <definedName name="_xlnm.Print_Area" localSheetId="1">Explanation!$A$1:$X$34</definedName>
    <definedName name="_xlnm.Print_Area" localSheetId="3">'Supplier Approval Form'!$A$1:$N$57</definedName>
    <definedName name="_xlnm.Print_Titles" localSheetId="3">'Supplier Approval Form'!$1:$16</definedName>
    <definedName name="Incoterms">'Language table'!$E$12:$E$15</definedName>
    <definedName name="Insurance">'Language table'!$E$49:$E$55</definedName>
    <definedName name="Language">'Supplier Approval Form'!$A$1</definedName>
    <definedName name="Rating">'Language table'!$B$7:$E$7</definedName>
    <definedName name="Requirements">'Language table'!$G$12:$J$26</definedName>
    <definedName name="SAP">'Language table'!$E$66:$E$72</definedName>
    <definedName name="Selection">'Language table'!$B$4:$D$4</definedName>
    <definedName name="Selection2">'Language table'!$B$6:$E$6</definedName>
    <definedName name="Selection3">'Language table'!$B$4:$E$4</definedName>
    <definedName name="TC">'Language table'!$L$10:$L$76</definedName>
    <definedName name="TCname">'Language table'!$N$10:$O$77</definedName>
    <definedName name="Translation">'Language table'!$B$11:$C$340</definedName>
    <definedName name="Usage">'Language table'!$B$5:$E$5</definedName>
    <definedName name="VC">'Supplier Approval Form'!$A$19</definedName>
    <definedName name="VendorClass">'Language table'!$B$3:$F$3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3" l="1"/>
  <c r="A4" i="23"/>
  <c r="E66" i="19"/>
  <c r="A36" i="23"/>
  <c r="A18" i="23"/>
  <c r="C49" i="23"/>
  <c r="K48" i="23"/>
  <c r="A48" i="23"/>
  <c r="E19" i="19"/>
  <c r="E20" i="19"/>
  <c r="E21" i="19"/>
  <c r="E22" i="19"/>
  <c r="E23" i="19"/>
  <c r="E24" i="19"/>
  <c r="E31" i="19"/>
  <c r="E55" i="19"/>
  <c r="E54" i="19"/>
  <c r="A55" i="23"/>
  <c r="A57" i="23"/>
  <c r="A56" i="23"/>
  <c r="A67" i="1" l="1"/>
  <c r="A65" i="1"/>
  <c r="A62" i="1"/>
  <c r="E4" i="19"/>
  <c r="A25" i="23" l="1"/>
  <c r="B27" i="23"/>
  <c r="A35" i="23" l="1"/>
  <c r="E59" i="19"/>
  <c r="G27" i="23"/>
  <c r="A26" i="23"/>
  <c r="A45" i="23" l="1"/>
  <c r="I26" i="23"/>
  <c r="E33" i="23"/>
  <c r="B34" i="23"/>
  <c r="I34" i="23"/>
  <c r="B52" i="1" l="1"/>
  <c r="B51" i="1"/>
  <c r="B50" i="1"/>
  <c r="I49" i="1"/>
  <c r="H49" i="1"/>
  <c r="B48" i="1"/>
  <c r="B47" i="1"/>
  <c r="A45" i="1"/>
  <c r="A66" i="1" l="1"/>
  <c r="A59" i="1"/>
  <c r="B78" i="1"/>
  <c r="B77" i="1"/>
  <c r="B76" i="1"/>
  <c r="B75" i="1"/>
  <c r="B74" i="1"/>
  <c r="B73" i="1"/>
  <c r="B72" i="1"/>
  <c r="B71" i="1"/>
  <c r="B70" i="1"/>
  <c r="A69" i="1"/>
  <c r="E63" i="1"/>
  <c r="J61" i="1"/>
  <c r="H61" i="1"/>
  <c r="E61" i="1"/>
  <c r="C61" i="1"/>
  <c r="A61" i="1"/>
  <c r="A60" i="1"/>
  <c r="A54" i="1"/>
  <c r="A3" i="1"/>
  <c r="A43" i="1"/>
  <c r="A42" i="1"/>
  <c r="I38" i="1"/>
  <c r="G38" i="1"/>
  <c r="E38" i="1"/>
  <c r="C38" i="1"/>
  <c r="A38" i="1"/>
  <c r="A37" i="1"/>
  <c r="A36" i="1"/>
  <c r="A58" i="1"/>
  <c r="H57" i="1"/>
  <c r="E57" i="1"/>
  <c r="C57" i="1"/>
  <c r="C56" i="1"/>
  <c r="A56" i="1"/>
  <c r="A35" i="1"/>
  <c r="A34" i="1"/>
  <c r="A33" i="1"/>
  <c r="A32" i="1"/>
  <c r="I31" i="1"/>
  <c r="F31" i="1"/>
  <c r="D31" i="1"/>
  <c r="A31" i="1"/>
  <c r="A30" i="1"/>
  <c r="C25" i="1"/>
  <c r="A25" i="1"/>
  <c r="O3" i="19"/>
  <c r="E29" i="19" l="1"/>
  <c r="E32" i="19"/>
  <c r="E30" i="19"/>
  <c r="E8" i="19"/>
  <c r="H40" i="23" l="1"/>
  <c r="A40" i="23"/>
  <c r="A41" i="23"/>
  <c r="H41" i="23"/>
  <c r="E50" i="19" l="1"/>
  <c r="E51" i="19"/>
  <c r="E52" i="19"/>
  <c r="B39" i="23" l="1"/>
  <c r="E53" i="19"/>
  <c r="E49" i="19"/>
  <c r="A49" i="23"/>
  <c r="B26" i="23" l="1"/>
  <c r="E32" i="23" l="1"/>
  <c r="A32" i="23"/>
  <c r="F26" i="19" s="1"/>
  <c r="F25" i="19"/>
  <c r="F15" i="19"/>
  <c r="W9" i="19"/>
  <c r="U9" i="19"/>
  <c r="E42" i="19" l="1"/>
  <c r="E43" i="19"/>
  <c r="E37" i="19" l="1"/>
  <c r="E36" i="19"/>
  <c r="B12" i="23" l="1"/>
  <c r="J39" i="23" l="1"/>
  <c r="H39" i="23"/>
  <c r="A39" i="23"/>
  <c r="H43" i="23" l="1"/>
  <c r="A43" i="23"/>
  <c r="H42" i="23"/>
  <c r="A42" i="23"/>
  <c r="A38" i="23"/>
  <c r="F25" i="1" l="1"/>
  <c r="B13" i="23" l="1"/>
  <c r="A13" i="23"/>
  <c r="D14" i="23"/>
  <c r="A14" i="23"/>
  <c r="H14" i="23"/>
  <c r="K10" i="23"/>
  <c r="K11" i="23"/>
  <c r="H11" i="23"/>
  <c r="K12" i="23"/>
  <c r="K13" i="23"/>
  <c r="H12" i="23"/>
  <c r="H13" i="23"/>
  <c r="K14" i="23"/>
  <c r="F14" i="1"/>
  <c r="A16" i="1"/>
  <c r="A14" i="1"/>
  <c r="F12" i="1"/>
  <c r="A12" i="1"/>
  <c r="G26" i="23" l="1"/>
  <c r="F19" i="19"/>
  <c r="F18" i="19"/>
  <c r="K9" i="23" l="1"/>
  <c r="F8" i="1"/>
  <c r="F10" i="1"/>
  <c r="F16" i="1"/>
  <c r="F18" i="1"/>
  <c r="F20" i="1"/>
  <c r="E22" i="1" l="1"/>
  <c r="A22" i="1"/>
  <c r="H15" i="23"/>
  <c r="D15" i="23" l="1"/>
  <c r="B11" i="23"/>
  <c r="B10" i="23"/>
  <c r="B9" i="23"/>
  <c r="L15" i="23" l="1"/>
  <c r="A15" i="23"/>
  <c r="A20" i="1"/>
  <c r="O10" i="19" l="1"/>
  <c r="N10" i="19"/>
  <c r="G36" i="19"/>
  <c r="F36" i="19"/>
  <c r="L77" i="19" l="1"/>
  <c r="L76" i="19"/>
  <c r="L75" i="19"/>
  <c r="L74" i="19"/>
  <c r="L66" i="19"/>
  <c r="L65" i="19"/>
  <c r="L64" i="19"/>
  <c r="L73" i="19"/>
  <c r="L72" i="19"/>
  <c r="L71" i="19"/>
  <c r="L70" i="19"/>
  <c r="L69" i="19"/>
  <c r="L68" i="19"/>
  <c r="L67" i="19"/>
  <c r="L58" i="19"/>
  <c r="B1" i="23"/>
  <c r="L11" i="19"/>
  <c r="E24" i="23" l="1"/>
  <c r="N6" i="25" l="1"/>
  <c r="G34" i="23" l="1"/>
  <c r="A34" i="23"/>
  <c r="C5" i="19"/>
  <c r="U11" i="19" l="1"/>
  <c r="U12" i="19"/>
  <c r="U13" i="19"/>
  <c r="U14" i="19"/>
  <c r="U15" i="19"/>
  <c r="U16" i="19"/>
  <c r="U17" i="19"/>
  <c r="U18" i="19"/>
  <c r="U19" i="19"/>
  <c r="U20" i="19"/>
  <c r="U21" i="19"/>
  <c r="U22" i="19"/>
  <c r="U23" i="19"/>
  <c r="U24" i="19"/>
  <c r="U25" i="19"/>
  <c r="U26" i="19"/>
  <c r="U27" i="19"/>
  <c r="U28" i="19"/>
  <c r="U29" i="19"/>
  <c r="U30" i="19"/>
  <c r="U31" i="19"/>
  <c r="U32" i="19"/>
  <c r="U33" i="19"/>
  <c r="U34" i="19"/>
  <c r="U35" i="19"/>
  <c r="U36" i="19"/>
  <c r="U37" i="19"/>
  <c r="U38" i="19"/>
  <c r="U39" i="19"/>
  <c r="U40" i="19"/>
  <c r="U41" i="19"/>
  <c r="U42" i="19"/>
  <c r="U43" i="19"/>
  <c r="U44" i="19"/>
  <c r="U45" i="19"/>
  <c r="U46" i="19"/>
  <c r="U47" i="19"/>
  <c r="U48" i="19"/>
  <c r="U49" i="19"/>
  <c r="U50" i="19"/>
  <c r="U51" i="19"/>
  <c r="U52" i="19"/>
  <c r="U53" i="19"/>
  <c r="U54" i="19"/>
  <c r="U55" i="19"/>
  <c r="U56" i="19"/>
  <c r="U57" i="19"/>
  <c r="U58" i="19"/>
  <c r="U59" i="19"/>
  <c r="U60" i="19"/>
  <c r="U61" i="19"/>
  <c r="U62" i="19"/>
  <c r="U63" i="19"/>
  <c r="U64" i="19"/>
  <c r="U65" i="19"/>
  <c r="U66" i="19"/>
  <c r="U67" i="19"/>
  <c r="U68" i="19"/>
  <c r="U69" i="19"/>
  <c r="U70" i="19"/>
  <c r="U71" i="19"/>
  <c r="U72" i="19"/>
  <c r="U73" i="19"/>
  <c r="U74" i="19"/>
  <c r="U75" i="19"/>
  <c r="U76" i="19"/>
  <c r="U77" i="19"/>
  <c r="U78" i="19"/>
  <c r="U79" i="19"/>
  <c r="U80" i="19"/>
  <c r="U81" i="19"/>
  <c r="U82" i="19"/>
  <c r="U83" i="19"/>
  <c r="U84" i="19"/>
  <c r="U85" i="19"/>
  <c r="U86" i="19"/>
  <c r="U87" i="19"/>
  <c r="U88" i="19"/>
  <c r="U89" i="19"/>
  <c r="U90" i="19"/>
  <c r="U91" i="19"/>
  <c r="U92" i="19"/>
  <c r="U93" i="19"/>
  <c r="U94" i="19"/>
  <c r="U95" i="19"/>
  <c r="U96" i="19"/>
  <c r="U97" i="19"/>
  <c r="U98" i="19"/>
  <c r="U99" i="19"/>
  <c r="U100" i="19"/>
  <c r="U101" i="19"/>
  <c r="U102" i="19"/>
  <c r="U103" i="19"/>
  <c r="U104" i="19"/>
  <c r="U105" i="19"/>
  <c r="U106" i="19"/>
  <c r="U107" i="19"/>
  <c r="U108" i="19"/>
  <c r="U109" i="19"/>
  <c r="U110" i="19"/>
  <c r="U111" i="19"/>
  <c r="U112" i="19"/>
  <c r="U113" i="19"/>
  <c r="U114" i="19"/>
  <c r="U115" i="19"/>
  <c r="U116" i="19"/>
  <c r="U117" i="19"/>
  <c r="U118" i="19"/>
  <c r="U119" i="19"/>
  <c r="U120" i="19"/>
  <c r="U121" i="19"/>
  <c r="U122" i="19"/>
  <c r="U123" i="19"/>
  <c r="U124" i="19"/>
  <c r="U125" i="19"/>
  <c r="U126" i="19"/>
  <c r="U127" i="19"/>
  <c r="U128" i="19"/>
  <c r="U129" i="19"/>
  <c r="U130" i="19"/>
  <c r="U131" i="19"/>
  <c r="U132" i="19"/>
  <c r="U133" i="19"/>
  <c r="U134" i="19"/>
  <c r="U135" i="19"/>
  <c r="U136" i="19"/>
  <c r="U137" i="19"/>
  <c r="U138" i="19"/>
  <c r="U139" i="19"/>
  <c r="U140" i="19"/>
  <c r="U141" i="19"/>
  <c r="U142" i="19"/>
  <c r="U143" i="19"/>
  <c r="U144" i="19"/>
  <c r="U145" i="19"/>
  <c r="U146" i="19"/>
  <c r="U147" i="19"/>
  <c r="U148" i="19"/>
  <c r="U149" i="19"/>
  <c r="U150" i="19"/>
  <c r="U151" i="19"/>
  <c r="U152" i="19"/>
  <c r="U153" i="19"/>
  <c r="U154" i="19"/>
  <c r="U155" i="19"/>
  <c r="U156" i="19"/>
  <c r="U157" i="19"/>
  <c r="U158" i="19"/>
  <c r="U159" i="19"/>
  <c r="U160" i="19"/>
  <c r="U161" i="19"/>
  <c r="U162" i="19"/>
  <c r="U163" i="19"/>
  <c r="U164" i="19"/>
  <c r="U165" i="19"/>
  <c r="U166" i="19"/>
  <c r="U167" i="19"/>
  <c r="U168" i="19"/>
  <c r="U169" i="19"/>
  <c r="U170" i="19"/>
  <c r="U171" i="19"/>
  <c r="U172" i="19"/>
  <c r="U173" i="19"/>
  <c r="U174" i="19"/>
  <c r="U175" i="19"/>
  <c r="U176" i="19"/>
  <c r="U177" i="19"/>
  <c r="U178" i="19"/>
  <c r="U179" i="19"/>
  <c r="U180" i="19"/>
  <c r="U181" i="19"/>
  <c r="U182" i="19"/>
  <c r="U183" i="19"/>
  <c r="U184" i="19"/>
  <c r="U185" i="19"/>
  <c r="U186" i="19"/>
  <c r="U187" i="19"/>
  <c r="U188" i="19"/>
  <c r="U189" i="19"/>
  <c r="U190" i="19"/>
  <c r="U191" i="19"/>
  <c r="U192" i="19"/>
  <c r="U193" i="19"/>
  <c r="U194" i="19"/>
  <c r="U195" i="19"/>
  <c r="U196" i="19"/>
  <c r="U197" i="19"/>
  <c r="U198" i="19"/>
  <c r="U199" i="19"/>
  <c r="U200" i="19"/>
  <c r="U10" i="19"/>
  <c r="A9" i="23" l="1"/>
  <c r="H9" i="23"/>
  <c r="A8" i="23"/>
  <c r="A6" i="23" l="1"/>
  <c r="H17" i="23" l="1"/>
  <c r="K24" i="23"/>
  <c r="K20" i="23"/>
  <c r="K18" i="23"/>
  <c r="H54" i="23"/>
  <c r="A54" i="23"/>
  <c r="H52" i="23"/>
  <c r="H53" i="23"/>
  <c r="A53" i="23"/>
  <c r="A52" i="23"/>
  <c r="A51" i="23"/>
  <c r="A46" i="23" l="1"/>
  <c r="D8" i="19"/>
  <c r="B8" i="19"/>
  <c r="F14" i="19" l="1"/>
  <c r="D24" i="23"/>
  <c r="D3" i="19" l="1"/>
  <c r="E3" i="19"/>
  <c r="F3" i="19"/>
  <c r="C3" i="19"/>
  <c r="A29" i="23" s="1"/>
  <c r="F20" i="19" s="1"/>
  <c r="G4" i="23"/>
  <c r="A3" i="23"/>
  <c r="C7" i="19"/>
  <c r="A23" i="23" l="1"/>
  <c r="E31" i="23"/>
  <c r="A30" i="23"/>
  <c r="F21" i="19" s="1"/>
  <c r="E7" i="19"/>
  <c r="D7" i="19"/>
  <c r="B7" i="19"/>
  <c r="F24" i="19"/>
  <c r="F23" i="19"/>
  <c r="F22" i="19"/>
  <c r="A24" i="23"/>
  <c r="G24" i="23"/>
  <c r="L12" i="19" l="1"/>
  <c r="L13" i="19"/>
  <c r="L14" i="19"/>
  <c r="L15" i="19"/>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8" i="19"/>
  <c r="L49" i="19"/>
  <c r="L50" i="19"/>
  <c r="L51" i="19"/>
  <c r="L52" i="19"/>
  <c r="L53" i="19"/>
  <c r="L54" i="19"/>
  <c r="L55" i="19"/>
  <c r="L56" i="19"/>
  <c r="L57" i="19"/>
  <c r="L59" i="19"/>
  <c r="L60" i="19"/>
  <c r="L61" i="19"/>
  <c r="L62" i="19"/>
  <c r="L63" i="19"/>
  <c r="A17" i="23"/>
  <c r="L10" i="19"/>
  <c r="F16" i="19" l="1"/>
  <c r="F17" i="19" l="1"/>
  <c r="F13" i="19"/>
  <c r="E20" i="23" l="1"/>
  <c r="E18" i="23"/>
  <c r="H10" i="23"/>
  <c r="K4" i="23"/>
  <c r="A12" i="23"/>
  <c r="A11" i="23"/>
  <c r="A10" i="1"/>
  <c r="A10" i="23"/>
  <c r="A8" i="1"/>
  <c r="A4" i="1"/>
  <c r="A6" i="1" l="1"/>
  <c r="D6" i="19" l="1"/>
  <c r="E6" i="19"/>
  <c r="C6" i="19"/>
  <c r="O4" i="19" s="1"/>
  <c r="M3" i="19" l="1"/>
  <c r="E5" i="19" l="1"/>
  <c r="D5" i="19"/>
  <c r="C4" i="19"/>
  <c r="K6" i="19" s="1"/>
  <c r="B6" i="19" l="1"/>
  <c r="B4" i="19"/>
  <c r="B5" i="19"/>
  <c r="E12" i="19"/>
  <c r="D4" i="19"/>
  <c r="A24" i="1"/>
  <c r="J25" i="1"/>
  <c r="A18" i="1"/>
  <c r="A1" i="1"/>
  <c r="I25" i="23" l="1"/>
  <c r="C51" i="23" s="1"/>
  <c r="M4" i="19"/>
  <c r="N4" i="19" l="1"/>
  <c r="N6" i="19" l="1"/>
  <c r="C8" i="19" l="1"/>
</calcChain>
</file>

<file path=xl/sharedStrings.xml><?xml version="1.0" encoding="utf-8"?>
<sst xmlns="http://schemas.openxmlformats.org/spreadsheetml/2006/main" count="1960" uniqueCount="1736">
  <si>
    <t>Supplier Self-Assessment</t>
  </si>
  <si>
    <t>Company Profile</t>
  </si>
  <si>
    <t>Facility Address:</t>
  </si>
  <si>
    <t>Department:</t>
  </si>
  <si>
    <t>Post code, City, State:</t>
  </si>
  <si>
    <t>Country:</t>
  </si>
  <si>
    <t>VAT-Number:</t>
  </si>
  <si>
    <t>DUNS-Number:</t>
  </si>
  <si>
    <t>Year</t>
  </si>
  <si>
    <t>Manufacturing</t>
  </si>
  <si>
    <t>Risk Assurance</t>
  </si>
  <si>
    <t>Amount of Coverage</t>
  </si>
  <si>
    <t>Yes</t>
  </si>
  <si>
    <t>No</t>
  </si>
  <si>
    <t>Type</t>
  </si>
  <si>
    <t>Financials</t>
  </si>
  <si>
    <t>Bank Name &amp; Address</t>
  </si>
  <si>
    <t>SWIFT Code</t>
  </si>
  <si>
    <t>Account No.</t>
  </si>
  <si>
    <t>Routing No.</t>
  </si>
  <si>
    <t>Customer Name</t>
  </si>
  <si>
    <t>Standard</t>
  </si>
  <si>
    <t>Result</t>
  </si>
  <si>
    <t>Methods</t>
  </si>
  <si>
    <t xml:space="preserve">Process- and Machine capability studies </t>
  </si>
  <si>
    <t>CAD</t>
  </si>
  <si>
    <t>Administration</t>
  </si>
  <si>
    <t>Quality Dep.</t>
  </si>
  <si>
    <t>*Investments</t>
  </si>
  <si>
    <t>*Sales</t>
  </si>
  <si>
    <t>Detailed Problem Solving Methodology &amp; Tools (5x Why, Ishikawa Diagram, etc.)</t>
  </si>
  <si>
    <t>Date</t>
  </si>
  <si>
    <t>2.1</t>
  </si>
  <si>
    <t>1.1</t>
  </si>
  <si>
    <t>1.2</t>
  </si>
  <si>
    <t>1.3</t>
  </si>
  <si>
    <t>Is it in particular forbidden in your company to apply child work (child work according to the terms of the national law)?</t>
  </si>
  <si>
    <t>Is Freedom of Association in accordance with national laws given in your company?</t>
  </si>
  <si>
    <t>Employees must be informed in writing about their rights and duties within the company and towards their employer. In particular working time, vacation and remuneration are agreed in writing.</t>
  </si>
  <si>
    <t>Has your company concluded working contracts with all your employees?</t>
  </si>
  <si>
    <t>Is the working time in your company in line with national law and the national standards of the concerned industrial sector?</t>
  </si>
  <si>
    <t>Do all employees of your company earn at least the minimum statutory income?</t>
  </si>
  <si>
    <t>Does your company grant paid vacation to all employees?</t>
  </si>
  <si>
    <t>Antitrust law aims at protecting a free market system based on supply and demand, which is one of the core principles of our society and our economy and which generates growth and creates jobs. Laws are there to prevent restrictions of competition and establish the same set of rules for all market players. Companies are responsible for ensuring compliance with these regulations. Failure to comply with these laws may result in criminal and administrative fines, imprisonment, and civil suits for damages against the company, its individual officers, directors and employees involved. The amount of damages and fines can threaten the continued existence for the company.</t>
  </si>
  <si>
    <t>Do programs or processes exist in your company in order to avoid breaches of Antitrust Law and to support fair competition?</t>
  </si>
  <si>
    <t>Corruption is largely banned worldwide. Corruption leads to economic decisions that are not made according to the free play of supply and demand, but by the abuse of personal power to the private benefit of the actors to the detriment of the companies concerned. The consequences are inter alia excessive and unstable prices, lower quality and consequential damages, low innovation and long-term decline in competitiveness within the industry.
Companies should have taken precautions to protect themselves and their employees against corruption in order to ensure a sustainable existence of the corporation.</t>
  </si>
  <si>
    <t>Do programs or processes exist in your company in order to prevent corruption, bribery and granting gifts disproportionally?</t>
  </si>
  <si>
    <t>Are all employees of your company pledged to keep secrets concerning the company and their work confidential and also pledged not to make such secrets public to any third party in any kind of way?</t>
  </si>
  <si>
    <t>Is all computer software used in your company (excluding self-made software) licensed?</t>
  </si>
  <si>
    <t>Do all your computers and data processing equipment come up to the latest national data protection laws and standards?</t>
  </si>
  <si>
    <t>Information on fair competition</t>
  </si>
  <si>
    <t>Information about the prevention of corruption</t>
  </si>
  <si>
    <t>Data Protection</t>
  </si>
  <si>
    <t>Information on supplier management</t>
  </si>
  <si>
    <t>Managing people</t>
  </si>
  <si>
    <t>Energy</t>
  </si>
  <si>
    <t>Safety</t>
  </si>
  <si>
    <t>Environment</t>
  </si>
  <si>
    <t>Does your company have environmental guidelines or an environmental policy? (if yes, please attach copy)</t>
  </si>
  <si>
    <t>Did the environmental performance of your company improve in the last year?</t>
  </si>
  <si>
    <t>Did your company implement a process to continously improve the health and safety performance? (Program/Goals)</t>
  </si>
  <si>
    <t>Did you implement a process to control and comply to relevant legal regulations, voluntary agreements with employees, health authorities, customers or own company-specific requirements? (e.g. regular audits)</t>
  </si>
  <si>
    <t>Do your associates get periodic environmental trainings?</t>
  </si>
  <si>
    <t>Did the health and safety performance of your company improve in the last year?</t>
  </si>
  <si>
    <t>Does your company have guidelines or an energy policy? (if yes, please attach copy)</t>
  </si>
  <si>
    <t>Does your company have health and safety guidelines or a health and safety policy? (if yes, please attach copy)</t>
  </si>
  <si>
    <t>Do your associates get periodic trainings related to energy/energy saving?</t>
  </si>
  <si>
    <t>Do your associates get periodic health and safety related trainings?</t>
  </si>
  <si>
    <t>ISO 17025 (only Laboratory)</t>
  </si>
  <si>
    <t>Website (URL):</t>
  </si>
  <si>
    <t xml:space="preserve">Automotive: </t>
  </si>
  <si>
    <t xml:space="preserve">Trucking: </t>
  </si>
  <si>
    <t>Product+Process approval acc. (AIAG) PPAP</t>
  </si>
  <si>
    <t>Product+Process approval acc. (VDA) PPF</t>
  </si>
  <si>
    <t>*Certificate</t>
  </si>
  <si>
    <t>Please select!</t>
  </si>
  <si>
    <t>Translation</t>
  </si>
  <si>
    <t>Ja</t>
  </si>
  <si>
    <t>Nein</t>
  </si>
  <si>
    <t>Incoterms</t>
  </si>
  <si>
    <t>Vendor Class</t>
  </si>
  <si>
    <t>VC1</t>
  </si>
  <si>
    <t>VC2</t>
  </si>
  <si>
    <t>VC3</t>
  </si>
  <si>
    <t>VC4</t>
  </si>
  <si>
    <t>Lieferantenselbstauskunft</t>
  </si>
  <si>
    <t>FCA - Free Carrier</t>
  </si>
  <si>
    <t>DAP - Delivered At Place</t>
  </si>
  <si>
    <t>DDP - Delivered, Duty paid</t>
  </si>
  <si>
    <t>Industries Served</t>
  </si>
  <si>
    <t>Major Customers</t>
  </si>
  <si>
    <t>Key/Core Competencies</t>
  </si>
  <si>
    <t>Short Description</t>
  </si>
  <si>
    <t>EDI</t>
  </si>
  <si>
    <t>Contact Person EDI:</t>
  </si>
  <si>
    <t>Firmenprofil</t>
  </si>
  <si>
    <t>DUNS-Nummer:</t>
  </si>
  <si>
    <t>Land:</t>
  </si>
  <si>
    <t>Abteilung:</t>
  </si>
  <si>
    <t>Email Adresse:</t>
  </si>
  <si>
    <t>Internetseite (URL):</t>
  </si>
  <si>
    <t>PLZ, Stadt, Bundesland:</t>
  </si>
  <si>
    <t>Adresse der Betriebsstätte:</t>
  </si>
  <si>
    <t>(including legal form):</t>
  </si>
  <si>
    <t>Company name</t>
  </si>
  <si>
    <t>Contacts</t>
  </si>
  <si>
    <t>Telephone-No.:</t>
  </si>
  <si>
    <t>Fax-No.:</t>
  </si>
  <si>
    <t>Telefon-Nr.:</t>
  </si>
  <si>
    <t>Fax-Nr.:</t>
  </si>
  <si>
    <t>Kontakte</t>
  </si>
  <si>
    <t>Comments</t>
  </si>
  <si>
    <t xml:space="preserve">Minority Certification </t>
  </si>
  <si>
    <t>Available</t>
  </si>
  <si>
    <t>Bitte wählen!</t>
  </si>
  <si>
    <t>Bank Account(s)* – Wire Transfer Mandatory</t>
  </si>
  <si>
    <t>Minority certified</t>
  </si>
  <si>
    <t>Payment term</t>
  </si>
  <si>
    <t>Incoterm</t>
  </si>
  <si>
    <t>ISO 14001</t>
  </si>
  <si>
    <t>ISO 50001</t>
  </si>
  <si>
    <t>IATF 16949</t>
  </si>
  <si>
    <t>ISO 9001</t>
  </si>
  <si>
    <t xml:space="preserve">Customer Approvals / Audits of Facility </t>
  </si>
  <si>
    <t>Application of Quality Management – Methods</t>
  </si>
  <si>
    <t>Usage</t>
  </si>
  <si>
    <t>Verwendung</t>
  </si>
  <si>
    <t>Applicable from (Date)</t>
  </si>
  <si>
    <t>If No, planned date</t>
  </si>
  <si>
    <t>Expiration date</t>
  </si>
  <si>
    <t>Certification Organization</t>
  </si>
  <si>
    <t>Advanced Product Quality Planning (AIAG) APQP / (VDA) RGA</t>
  </si>
  <si>
    <t>Failure Mode and Effects Analysis (FMEA) • Design • Process</t>
  </si>
  <si>
    <t>Regularly</t>
  </si>
  <si>
    <t>Partially</t>
  </si>
  <si>
    <t>Currently not</t>
  </si>
  <si>
    <t>Environmental Management System (e.g. ISO 14001, EMAS III)</t>
  </si>
  <si>
    <t>Energy Management System (e.g. ISO 50001)</t>
  </si>
  <si>
    <t>Did the energy related performance of your company improve in the last year in processes that are relevant for the products to be supplied to BENTELER?</t>
  </si>
  <si>
    <t>Firmenname</t>
  </si>
  <si>
    <t>(inkl. Rechtsform):</t>
  </si>
  <si>
    <t>Sales Manager</t>
  </si>
  <si>
    <t>Quality Manager</t>
  </si>
  <si>
    <t>Logistics Manager</t>
  </si>
  <si>
    <t>Environmental Manager</t>
  </si>
  <si>
    <t>Sustainability - responsible</t>
  </si>
  <si>
    <t>Safety - responsible</t>
  </si>
  <si>
    <t>Information on external social responsibility rating</t>
  </si>
  <si>
    <t>Do you train your employees to raise the understanding of CSR/Sustainability?</t>
  </si>
  <si>
    <t xml:space="preserve">Are your employees informed about the potential hazards and risks of their work and instructed about the corresponding safety measures?  </t>
  </si>
  <si>
    <t>Does your company also require your suppliers to maintain corporate social responsibility standards within the entire supply chain? If yes, please provide evidence.</t>
  </si>
  <si>
    <t>Information on export control</t>
  </si>
  <si>
    <t xml:space="preserve">Any violation of export regulations may lead to significant consequences for the BENTELER Group and its responsible executives and employees. Each company in the BENTELER supply chain must comply with international and national trade laws. Your responsible employees must recognize, understand and comply with all applicable laws, regulations and directives to control international trade and financial transactions. 
</t>
  </si>
  <si>
    <t>Do you have a qualified person within your organization in charge of export control matters? If yes, please provide name and e-mail address. Please inform us about any changes.</t>
  </si>
  <si>
    <t>Information on breaches and infrangements</t>
  </si>
  <si>
    <t>Third-Party Sustainability Rating is attached.</t>
  </si>
  <si>
    <t>References: ILO Conventions 87, 98, 135, 154 – Freedom of association</t>
  </si>
  <si>
    <t>References: www.wassenaar.org; www.nuclearsuppliergroup.org; www.australiagroup.net; www.mtcr.info</t>
  </si>
  <si>
    <t>The use of unlicensed software is prohibited. The intellectual owner of the software can prohibit the use of products made directly or indirectly by the use his or her software.</t>
  </si>
  <si>
    <t>Reference: ILO Convention 132 – Paid vacation</t>
  </si>
  <si>
    <t>References: ILO Conventions 26, 131 – Minimum Income</t>
  </si>
  <si>
    <t>References: ILO Conventions 1, 14 – Working and resting time</t>
  </si>
  <si>
    <t>Reference: ILO Convention 155 – Workplace health and safety</t>
  </si>
  <si>
    <t>Continue with No. 2</t>
  </si>
  <si>
    <t>References: ILO Conventions 59, 79, 138, 142, 182 – Prohibition of child work</t>
  </si>
  <si>
    <t>BENTELER expects that all exchanged data are kept confidential unless the data have already been published elsewhere at the time of exchange; even if the parties (BENTELER and supplier / service provider) have not concluded a general or project specific confidentiality agreement, yet. That can only be guaranteed if all your employees who have access to these data observe their duty to keep business related data confidential and have been pledged in writing by the employer to general secrecy.</t>
  </si>
  <si>
    <t>Data processing systems must be protected against unauthorized access from the outside of the company as well as access by unauthorised persons within the organization. BENTELER expects that suppliers comply with the minimum local statutory requirements for securing electronic data.</t>
  </si>
  <si>
    <t>It shall be ensured that all companies within BENTELER's supply chain from the very beginning until the final client adhere to the applicable laws and observe ethical minimum standards such as outlined in BENTELER’s code of conduct for example. Each company within the supply chain shall contribute as best as possible to achieve this target.</t>
  </si>
  <si>
    <t>Information on sourcing of raw materials</t>
  </si>
  <si>
    <t>(This question is not relevant for service providers.)</t>
  </si>
  <si>
    <t>Companies are expected to conduct due diligence to understand the source of the raw materials used in their products. Providing products that contain raw materials without knowing the origin could lead to contribute to human rights abuses, bribary and ethics violations, or negatively impact the environment.</t>
  </si>
  <si>
    <t>Reference: Responsible Minerals Initiative (www.responsiblemineralsinitiative.org)</t>
  </si>
  <si>
    <t>Name of Company owner / Major owner:</t>
  </si>
  <si>
    <t>Selection2</t>
  </si>
  <si>
    <t>Kommentare</t>
  </si>
  <si>
    <t>Rating</t>
  </si>
  <si>
    <t>Total number of points =</t>
  </si>
  <si>
    <t>of</t>
  </si>
  <si>
    <t>*Please indicate Currency</t>
  </si>
  <si>
    <t>% of sales</t>
  </si>
  <si>
    <t>No. 2 not necessary</t>
  </si>
  <si>
    <t>No. 3 not necessary</t>
  </si>
  <si>
    <t>No. 4 not necessary</t>
  </si>
  <si>
    <t>Nr. 2 nicht erforderlich</t>
  </si>
  <si>
    <t>Nr. 3 nicht erforderlich</t>
  </si>
  <si>
    <t>Nr. 4 nicht erforderlich</t>
  </si>
  <si>
    <t>Handelsregisternummer:</t>
  </si>
  <si>
    <t>E-mail address:</t>
  </si>
  <si>
    <t>Name des Firmeninhabers / Haupteigentümers:</t>
  </si>
  <si>
    <t>Jahr</t>
  </si>
  <si>
    <t>*Umsätze</t>
  </si>
  <si>
    <t>*Investitionen</t>
  </si>
  <si>
    <t>*Bitte geben Sie die Währung an</t>
  </si>
  <si>
    <t>Produktion</t>
  </si>
  <si>
    <t>Branchen, die beliefert werden</t>
  </si>
  <si>
    <t>%-Anteil von Umsätzen</t>
  </si>
  <si>
    <t>Kurzbeschreibung:</t>
  </si>
  <si>
    <t>EDI Verbindung vorhanden?</t>
  </si>
  <si>
    <t>EDI Connection available?</t>
  </si>
  <si>
    <t>Kontaktperson für EDI:</t>
  </si>
  <si>
    <t>Risikoabsicherung</t>
  </si>
  <si>
    <t>Vorhanden</t>
  </si>
  <si>
    <t>Wenn nicht, zu wann geplant?</t>
  </si>
  <si>
    <t>Deckungssumme</t>
  </si>
  <si>
    <t>Betriebshaftpflichtversicherung</t>
  </si>
  <si>
    <t>Ablaufdatum:</t>
  </si>
  <si>
    <t>Typ</t>
  </si>
  <si>
    <t>Name der Bank &amp; Adresse</t>
  </si>
  <si>
    <t>IBAN</t>
  </si>
  <si>
    <t>Zahlungsbedingungen</t>
  </si>
  <si>
    <t>*Zertifikat</t>
  </si>
  <si>
    <t xml:space="preserve">Kundenfreigaben / Audits von Anlagen </t>
  </si>
  <si>
    <t>Kundenname</t>
  </si>
  <si>
    <t>Datum</t>
  </si>
  <si>
    <t>Ergebnis</t>
  </si>
  <si>
    <t>Anwendbar ab (Datum)</t>
  </si>
  <si>
    <t>Do you have a policy on responsible sourcing on raw materials? If yes, please enclose a copy.</t>
  </si>
  <si>
    <t>Haben Sie eine Richtlinie für eine verantwortungsvolle Beschaffung von Rohstoffen? Wenn ja, legen Sie bitte eine Kopie bei.</t>
  </si>
  <si>
    <t>Regelmäßig</t>
  </si>
  <si>
    <t>Teilweise</t>
  </si>
  <si>
    <t>Zur Zeit nicht</t>
  </si>
  <si>
    <t>Umwelt Management System (z.B. ISO 14001, EMAS III)</t>
  </si>
  <si>
    <t>Umwelt</t>
  </si>
  <si>
    <t>Hat Ihr Unternehmen einen Prozess zur kontinuierlichen Verbesserung der Umweltleistung implementiert? (Programm/Ziele)</t>
  </si>
  <si>
    <t>Erhalten Ihre Mitarbeiter regelmäßig Umweltschulungen?</t>
  </si>
  <si>
    <t>x</t>
  </si>
  <si>
    <t>(x)</t>
  </si>
  <si>
    <t>-</t>
  </si>
  <si>
    <t>General Supply Contract</t>
  </si>
  <si>
    <t>On Site Assessment</t>
  </si>
  <si>
    <t>Passed</t>
  </si>
  <si>
    <t>Conditions:</t>
  </si>
  <si>
    <t>Minority Certification</t>
  </si>
  <si>
    <t>Kontonummer</t>
  </si>
  <si>
    <t>Bankkonto(-konten)* - Banküberweisung obligatorisch</t>
  </si>
  <si>
    <t>Methoden</t>
  </si>
  <si>
    <t>Prozess- und Herstellbarkeitsanalysen</t>
  </si>
  <si>
    <t>Produkt+Prozessfreigabe nach (AIAG) PPAP</t>
  </si>
  <si>
    <t>Produkt+Prozessfreigabe nach (VDA) PPF</t>
  </si>
  <si>
    <t>Qualitätsvorausplanung (AIAG) APQP / (VDA) RGA</t>
  </si>
  <si>
    <t>Fehlermöglichkeits- und -einflussanalyse (eng. FMEA)  • Design • Prozess</t>
  </si>
  <si>
    <t>Sicherheit</t>
  </si>
  <si>
    <t>Energie</t>
  </si>
  <si>
    <t>Hat sich die Umweltleistung Ihres Unternehmens im letzten Jahr verbessert?</t>
  </si>
  <si>
    <t>Hat Ihr Unternehmen einen Prozess zur kontinuierlichen Verbesserung der Gesundheits- und Sicherheitsperformance implementiert? (Programm/Ziele)</t>
  </si>
  <si>
    <t>Haben Sie einen Prozess zur Kontrolle und Einhaltung relevanter gesetzlicher Vorschriften, freiwilliger Vereinbarungen mit Mitarbeitern, Gesundheitsbehörden, Kunden oder eigener unternehmensspezifischer Anforderungen implementiert? (z.B. regelmäßige Audits)</t>
  </si>
  <si>
    <t>Erhalten Ihre Mitarbeiter regelmäßig Schulungen zum Thema Gesundheit und Sicherheit?</t>
  </si>
  <si>
    <t>Hat sich die Leistung Ihres Unternehmens im Bereich Gesundheit und Sicherheit im letzten Jahr verbessert?</t>
  </si>
  <si>
    <t>Hat Ihr Unternehmen einen Prozess zur kontinuierlichen Verbesserung der energiebezogenen Leistung implementiert? (Programm/Ziele)</t>
  </si>
  <si>
    <t>Erhalten Ihre Mitarbeiter regelmäßige Schulungen zum Thema Energie/Energieeinsparung?</t>
  </si>
  <si>
    <t>Hat sich die energiebezogene Leistung Ihres Unternehmens im letzten Jahr in Prozessen verbessert, die für die an BENTELER zu liefernden Produkte relevant sind?</t>
  </si>
  <si>
    <t>Informationen zur externen Bewertung der sozialen Verantwortung</t>
  </si>
  <si>
    <t>Das Nachhaltigkeitsrating eines Drittanbieters ist beigefügt.</t>
  </si>
  <si>
    <t>Schulen Sie Ihre Mitarbeiter, um das Verständnis für CSR/Nachhaltigkeit zu stärken?</t>
  </si>
  <si>
    <t>Ist es in Ihrem Unternehmen insbesondere verboten, Kinderarbeit anzuwenden (Kinderarbeit nach den Bestimmungen des nationalen Rechts)?</t>
  </si>
  <si>
    <t>Referenzen: ILO Konventionen 87, 98, 135, 154 - Vereinigungsfreiheit</t>
  </si>
  <si>
    <t>Entspricht die Vereinigungsfreiheit den nationalen Gesetzen, die in Ihrem Unternehmen gelten?</t>
  </si>
  <si>
    <t>Mitarbeiterführung</t>
  </si>
  <si>
    <t>Die Arbeitnehmer sind schriftlich über ihre Rechte und Pflichten innerhalb des Unternehmens und gegenüber ihrem Arbeitgeber zu informieren. Insbesondere Arbeitszeit, Urlaub und Vergütung werden schriftlich vereinbart.</t>
  </si>
  <si>
    <t>Hat Ihr Unternehmen mit allen Ihren Mitarbeitern Arbeitsverträge abgeschlossen?</t>
  </si>
  <si>
    <t>Referenzen: ILO Konventionen 1, 14 - Arbeitszeit und Ruhezeiten</t>
  </si>
  <si>
    <t>Entspricht die Arbeitszeit in Ihrem Unternehmen dem nationalen Recht und den nationalen Normen der jeweiligen Branche?</t>
  </si>
  <si>
    <t>Verdienen alle Mitarbeiter Ihres Unternehmens mindestens das gesetzliche Mindesteinkommen?</t>
  </si>
  <si>
    <t>Gewährt Ihr Unternehmen allen Mitarbeitern bezahlten Urlaub?</t>
  </si>
  <si>
    <t>Referenz: ILO Konvention 155 - Gesund- und Sicherheit am Arbeitsplatz</t>
  </si>
  <si>
    <t>Werden Ihre Mitarbeiter über die möglichen Gefahren und Risiken ihrer Arbeit und über die entsprechenden Sicherheitsmaßnahmen informiert?</t>
  </si>
  <si>
    <t>Informationen über fairen Wettbewerb</t>
  </si>
  <si>
    <t>Das Kartellrecht zielt auf den Schutz eines auf Angebot und Nachfrage basierenden freien Marktsystems ab, das eines der Grundprinzipien unserer Gesellschaft und unserer Wirtschaft ist und Wachstum und Arbeitsplätze schafft. Gesetze sollen Wettbewerbsbeschränkungen verhindern und ein einheitliches Regelwerk für alle Marktteilnehmer festlegen. Unternehmen sind für die Einhaltung dieser Vorschriften verantwortlich. Die Nichteinhaltung dieser Gesetze kann zu Straf- und Verwaltungsstrafen, Freiheitsstrafen und zivilrechtlichen Schadenersatzklagen gegen das Unternehmen, seine einzelnen leitenden Angestellten, Geschäftsführer und beteiligten Mitarbeiter führen. Die Höhe von Schadenersatz und Bußgeldern kann den Fortbestand des Unternehmens gefährden.</t>
  </si>
  <si>
    <t>Gibt es in Ihrem Unternehmen Programme oder Prozesse, um Verstöße gegen das Kartellrecht zu vermeiden und einen fairen Wettbewerb zu unterstützen?</t>
  </si>
  <si>
    <t>Informationen über die Prävention von Korruption</t>
  </si>
  <si>
    <t>Gibt es in Ihrem Unternehmen Programme oder Prozesse, um Korruption, Bestechung und unverhältnismäßige Geschenke zu verhindern?</t>
  </si>
  <si>
    <t>Datenschutz</t>
  </si>
  <si>
    <t>BENTELER erwartet, dass alle ausgetauschten Daten vertraulich behandelt werden, es sei denn, die Daten sind zum Zeitpunkt des Austausches bereits an anderer Stelle veröffentlicht worden; auch wenn die Parteien (BENTELER und Lieferant / Dienstleister) noch keine allgemeine oder projektspezifische Geheimhaltungsvereinbarung getroffen haben. Dies kann nur gewährleistet werden, wenn alle Ihre Mitarbeiter, die Zugang zu diesen Daten haben, ihre Pflicht zur Wahrung der Vertraulichkeit geschäftsbezogener Daten einhalten und vom Arbeitgeber schriftlich zur allgemeinen Geheimhaltung verpflichtet wurden.</t>
  </si>
  <si>
    <t>Sind alle Mitarbeiter Ihres Unternehmens verpflichtet, Betriebsgeheimnisse und deren Arbeit vertraulich zu behandeln und diese auch in keiner Weise Dritten zugänglich zu machen?</t>
  </si>
  <si>
    <t>Die Verwendung von nicht lizenzierter Software ist untersagt. Der geistige Eigentümer der Software kann die Verwendung von Produkten verbieten, die direkt oder indirekt durch die Verwendung seiner Software hergestellt wurden.</t>
  </si>
  <si>
    <t>Ist die gesamte in Ihrem Unternehmen verwendete Computersoftware (mit Ausnahme der selbst erstellten Software) lizenziert?</t>
  </si>
  <si>
    <t>Datenverarbeitungssysteme müssen vor unbefugtem Zugriff von außerhalb des Unternehmens sowie vor dem Zugriff unbefugter Personen innerhalb des Unternehmens geschützt werden. BENTELER erwartet, dass die Lieferanten die lokalen gesetzlichen Mindestanforderungen zur Sicherung elektronischer Daten erfüllen.</t>
  </si>
  <si>
    <t>Entsprechen alle Ihre Computer und Datenverarbeitungsanlagen den neuesten nationalen Datenschutzgesetzen und -standards?</t>
  </si>
  <si>
    <t>Informationen zu Lieferantenmanagement</t>
  </si>
  <si>
    <t>Es ist sicherzustellen, dass alle Unternehmen innerhalb der Lieferkette von BENTELER von Anfang an bis zum Endkunden die geltenden Gesetze einhalten und ethische Mindeststandards einhalten, wie sie beispielsweise im Verhaltenskodex von BENTELER festgelegt sind. Jedes Unternehmen innerhalb der Lieferkette soll so gut wie möglich zur Erreichung dieses Ziels beitragen.</t>
  </si>
  <si>
    <t>Verlangt Ihr Unternehmen auch von Ihren Zulieferern, dass sie die Standards der Corporate Social Responsibility innerhalb der gesamten Lieferkette einhalten? Wenn ja, legen Sie bitte Nachweise vor.</t>
  </si>
  <si>
    <t xml:space="preserve">Ein Verstoß gegen die Exportbestimmungen kann erhebliche Folgen für die BENTELER-Gruppe und ihre verantwortlichen Führungskräfte und Mitarbeiter haben. Jedes Unternehmen in der BENTELER Lieferkette muss die internationalen und nationalen Handelsgesetze einhalten. Ihre verantwortlichen Mitarbeiter müssen alle geltenden Gesetze, Vorschriften und Richtlinien zur Kontrolle internationaler Handels- und Finanztransaktionen anerkennen, verstehen und einhalten. </t>
  </si>
  <si>
    <t>Referenzen: www.wassenaar.org; www. Nuclearsuppliergroup.org; www.australiagroup.net; www.mtcr.info</t>
  </si>
  <si>
    <t>Verfügen Sie über ein Ausfuhrkontrollsystem, das zumindest Handelsbeschränkungen abdeckt (z.B. Embargos, Dual-Use-Güter, Waren auf Handelskontrolllisten usw.)?</t>
  </si>
  <si>
    <t>Haben Sie in Ihrem Unternehmen eine qualifizierte Person, die für Fragen der Exportkontrolle zuständig ist? Wenn ja, geben Sie bitte Namen und E-Mail-Adresse an. Bitte informieren Sie uns über Änderungen.</t>
  </si>
  <si>
    <t>Informationen über Rechtsverletzungen</t>
  </si>
  <si>
    <t>Informationen zur Beschaffung von Rohstoffen</t>
  </si>
  <si>
    <t>(Diese Frage ist für Dienstleister nicht relevant.)</t>
  </si>
  <si>
    <t>Von den Unternehmen wird erwartet, dass sie Ihrer Sorgfaltspflicht nachkommen, um die Herkunft, der in ihren Produkten verwendeten Rohstoffe, zu verstehen. Die Bereitstellung von Produkten, die Rohstoffe enthalten, ohne dessen Herkunft zu kennen, könnte zu Menschenrechtsverletzungen, Bestechungs- und Ethikverletzungen oder negativen Auswirkungen auf die Umwelt führen.</t>
  </si>
  <si>
    <t>Referenz: Responsible Minerals Initiative (www.responsiblemineralsinitiative.org)</t>
  </si>
  <si>
    <t>Automotive:</t>
  </si>
  <si>
    <t>Finanzen</t>
  </si>
  <si>
    <t>Bankleitzahl</t>
  </si>
  <si>
    <t>Sicherheitsbeauftragter</t>
  </si>
  <si>
    <t>Nachhaltigkeitsbeauftragter</t>
  </si>
  <si>
    <t>Hauptkundengruppe</t>
  </si>
  <si>
    <t>ISO 17025 (nur für Labore)</t>
  </si>
  <si>
    <t>Zertifizierungsstelle</t>
  </si>
  <si>
    <t>Detaillierte Problemlösungsmethoden und Tools (5x Why, Ishikawa Diagramm, etc.)</t>
  </si>
  <si>
    <t>Hat Ihr Unternehmen eine Umweltrichtlinie oer eine Umweltpolitik? (wenn ja, bitte Kopie beifügen)</t>
  </si>
  <si>
    <t>Hat Ihr Unternehmen Gesundheits- und Sicherheitsrichtlinien oder eine Gesundheits- und Sicherheitspolitik? (wenn ja, bitte Kopie beifügen)</t>
  </si>
  <si>
    <t>Hat Ihr Unternehmen eine Energierichtlinie oder -politik? (wenn ja, bitte Kopie beifügen)</t>
  </si>
  <si>
    <t>Did you implement a process to control and comply to relevant legal regulations, voluntary agreements with customers etc. ? (e.g. on-site inspections, regular audits)</t>
  </si>
  <si>
    <r>
      <t>Haben Sie einen Prozess zur Kontrolle und Einhaltung der relevanten gesetzlichen Vorschriften, freiwilligen Vereinbarungen mit Kunden etc. implementiert? (z.B. Vor-Ort-Prüfungen</t>
    </r>
    <r>
      <rPr>
        <sz val="10"/>
        <rFont val="Arial"/>
        <family val="2"/>
      </rPr>
      <t>, Audits)</t>
    </r>
  </si>
  <si>
    <t>Referenzen: ILO Konventionen 26, 131 - Mindesteinkommen</t>
  </si>
  <si>
    <t>Korruption ist weltweit weitgehend verboten. Korruption führt zu wirtschaftlichen Entscheidungen, die nicht nach dem freien Spiel von Angebot und Nachfrage, sondern durch den Missbrauch der persönlichen Macht zum privaten Nutzen der Akteure, zum Nachteil der betroffenen Unternehmen getroffen werden. Die Folgen sind unter anderem überhöhte und instabile Preise, geringere Qualität und Folgeschäden, geringe Innovationsfähigkeit und langfristig Rückgang der Wettbewerbsfähigkeit innerhalb der Branche.
Unternehmen sollten Vorkehrungen getroffen haben, um sich und ihre Mitarbeiter vor Korruption zu schützen, um eine nachhaltige Existenz des Unternehmens zu gewährleisten.</t>
  </si>
  <si>
    <t>Informationen zu Exportkontrolle</t>
  </si>
  <si>
    <t>a)</t>
  </si>
  <si>
    <t>b)</t>
  </si>
  <si>
    <t>Please fill in all grey cells.</t>
  </si>
  <si>
    <t>Referenzen: ILO Konventionen 59, 79, 138, 142, 182 - Verbot von Kinderarbeit</t>
  </si>
  <si>
    <t>Legend:</t>
  </si>
  <si>
    <t>1. Setting the Language</t>
  </si>
  <si>
    <t>2. Setting the vendor class</t>
  </si>
  <si>
    <r>
      <t xml:space="preserve">3. How to use section </t>
    </r>
    <r>
      <rPr>
        <b/>
        <sz val="12"/>
        <rFont val="Arial"/>
        <family val="2"/>
      </rPr>
      <t>F</t>
    </r>
    <r>
      <rPr>
        <b/>
        <sz val="10"/>
        <rFont val="Arial"/>
        <family val="2"/>
      </rPr>
      <t xml:space="preserve"> </t>
    </r>
    <r>
      <rPr>
        <b/>
        <sz val="12"/>
        <rFont val="Arial"/>
        <family val="2"/>
      </rPr>
      <t>Supplier Approval Form</t>
    </r>
  </si>
  <si>
    <t>Explanation</t>
  </si>
  <si>
    <t>Erklärung</t>
  </si>
  <si>
    <t>Legende:</t>
  </si>
  <si>
    <t>1. Einstellung der Sprache</t>
  </si>
  <si>
    <t>2. Einstellung der Lieferantenklasse</t>
  </si>
  <si>
    <t>Bitte füllen Sie alle ausgegrauten Felder.</t>
  </si>
  <si>
    <t xml:space="preserve">Fields to be filled by BENTELER
</t>
  </si>
  <si>
    <t xml:space="preserve">Fields to be filled by supplier
</t>
  </si>
  <si>
    <t xml:space="preserve">Felder die von BENTELER auszufüllen sind
</t>
  </si>
  <si>
    <t xml:space="preserve">Felder die vom Lieferanten auszufüllen sind
</t>
  </si>
  <si>
    <t>Nutzfahrzeuge:</t>
  </si>
  <si>
    <t>Energie Management System (z.B. ISO 50001)</t>
  </si>
  <si>
    <t>Supplier Approval Form</t>
  </si>
  <si>
    <t>Lieferantenfreigabeformular</t>
  </si>
  <si>
    <t>Supplier Information:</t>
  </si>
  <si>
    <t>Lieferanteninformation:</t>
  </si>
  <si>
    <t>Information Required</t>
  </si>
  <si>
    <t>Erforderliche Informationen</t>
  </si>
  <si>
    <t>Rahmenliefervertrag</t>
  </si>
  <si>
    <t>VC Requirements</t>
  </si>
  <si>
    <t>VDA 6.1</t>
  </si>
  <si>
    <t>TechKlasse</t>
  </si>
  <si>
    <t>TCAB0000</t>
  </si>
  <si>
    <t>Ball Joints / Stabi Links</t>
  </si>
  <si>
    <t>TCACF000</t>
  </si>
  <si>
    <t>Casting (Ferrous)</t>
  </si>
  <si>
    <t>TCACI000</t>
  </si>
  <si>
    <t>Investment Casting</t>
  </si>
  <si>
    <t>TCACN000</t>
  </si>
  <si>
    <t>Castings (Non-Ferrous)</t>
  </si>
  <si>
    <t>TCAFF000</t>
  </si>
  <si>
    <t>Forgings, Ferrous</t>
  </si>
  <si>
    <t>TCAFN000</t>
  </si>
  <si>
    <t>Forgings, Aluminum</t>
  </si>
  <si>
    <t>TCAMA000</t>
  </si>
  <si>
    <t>Shock Absorbers</t>
  </si>
  <si>
    <t>TCAMAT000</t>
  </si>
  <si>
    <t>Transmission</t>
  </si>
  <si>
    <t>TCAMB000</t>
  </si>
  <si>
    <t>Brakes &amp; Accessories</t>
  </si>
  <si>
    <t>TCAMB001</t>
  </si>
  <si>
    <t>Brake Pipe / Brake Hose</t>
  </si>
  <si>
    <t>TCAMC000</t>
  </si>
  <si>
    <t>Steering Systems</t>
  </si>
  <si>
    <t>TCAMD000</t>
  </si>
  <si>
    <t>Drive Shafts</t>
  </si>
  <si>
    <t>TCAMF000</t>
  </si>
  <si>
    <t>ZSB Modul Components</t>
  </si>
  <si>
    <t>TCAMS000</t>
  </si>
  <si>
    <t>Springs &amp; Stabilizers</t>
  </si>
  <si>
    <t>TCAMW000</t>
  </si>
  <si>
    <t>Bearings</t>
  </si>
  <si>
    <t>TCAP0000</t>
  </si>
  <si>
    <t>Plastics, Rubber</t>
  </si>
  <si>
    <t>TCAR0000</t>
  </si>
  <si>
    <t>Rubber-Metal</t>
  </si>
  <si>
    <t>TCCCM000</t>
  </si>
  <si>
    <t>Machinery &amp; Equipment</t>
  </si>
  <si>
    <t>TCCCT000</t>
  </si>
  <si>
    <t>Measuring &amp; Test Equipment</t>
  </si>
  <si>
    <t>TCEE0000</t>
  </si>
  <si>
    <t>Electrical Systems</t>
  </si>
  <si>
    <t>TCEEC000</t>
  </si>
  <si>
    <t>Electronic Control Units</t>
  </si>
  <si>
    <t>TCEEM000</t>
  </si>
  <si>
    <t>Electric Motors</t>
  </si>
  <si>
    <t>TCEWA000</t>
  </si>
  <si>
    <t>Cutting</t>
  </si>
  <si>
    <t>TCEWG001</t>
  </si>
  <si>
    <t>TCEWH000</t>
  </si>
  <si>
    <t>Heat Treatment</t>
  </si>
  <si>
    <t>TCEWM000</t>
  </si>
  <si>
    <t>TCEWS000</t>
  </si>
  <si>
    <t>Surface Treatment Service</t>
  </si>
  <si>
    <t>TCEWSV02</t>
  </si>
  <si>
    <t>Surface Treatment, De-Painting</t>
  </si>
  <si>
    <t>TCEXA000</t>
  </si>
  <si>
    <t>EGR Valves</t>
  </si>
  <si>
    <t>TCEXC000</t>
  </si>
  <si>
    <t>Catalytic Converters</t>
  </si>
  <si>
    <t>TCEXD000</t>
  </si>
  <si>
    <t>Dampers</t>
  </si>
  <si>
    <t>TCEXF000</t>
  </si>
  <si>
    <t>Fittings</t>
  </si>
  <si>
    <t>TCEXS000</t>
  </si>
  <si>
    <t>EES Special Parts</t>
  </si>
  <si>
    <t>TCEXW000</t>
  </si>
  <si>
    <t>Gaskets</t>
  </si>
  <si>
    <t>TCEXX000</t>
  </si>
  <si>
    <t>Mats / Isolation</t>
  </si>
  <si>
    <t>TCIAC000</t>
  </si>
  <si>
    <t>Lubricants</t>
  </si>
  <si>
    <t>TCIAS000</t>
  </si>
  <si>
    <t>Surface Treatment Material</t>
  </si>
  <si>
    <t>TCIAW000</t>
  </si>
  <si>
    <t>Welding/Soldering Consumables</t>
  </si>
  <si>
    <t>TCILO004</t>
  </si>
  <si>
    <t>TCILP000</t>
  </si>
  <si>
    <t>Packaging Units</t>
  </si>
  <si>
    <t>TCILT000</t>
  </si>
  <si>
    <t>Transport</t>
  </si>
  <si>
    <t>TCISH000</t>
  </si>
  <si>
    <t>HR Services</t>
  </si>
  <si>
    <t>TCMDI000</t>
  </si>
  <si>
    <t>Stamping Dies,Inhouse Tooling (Benteler)</t>
  </si>
  <si>
    <t>TCMFF000</t>
  </si>
  <si>
    <t>Connecting Elements</t>
  </si>
  <si>
    <t>TCMFS000</t>
  </si>
  <si>
    <t>Sintered parts</t>
  </si>
  <si>
    <t>TCMP0000</t>
  </si>
  <si>
    <t>Press Parts</t>
  </si>
  <si>
    <t>TCMP0002</t>
  </si>
  <si>
    <t>Press Parts, Assy</t>
  </si>
  <si>
    <t>TCMP0003</t>
  </si>
  <si>
    <t>Press Parts, Fine Blank</t>
  </si>
  <si>
    <t>TCMP0004</t>
  </si>
  <si>
    <t>Press Parts, Deep Drawn</t>
  </si>
  <si>
    <t>TCMP0005</t>
  </si>
  <si>
    <t>Rolled Tubular Parts</t>
  </si>
  <si>
    <t>TCMT0000</t>
  </si>
  <si>
    <t>Tubes / Profiles</t>
  </si>
  <si>
    <t>TCMTT000</t>
  </si>
  <si>
    <t>Blooms</t>
  </si>
  <si>
    <t>TCRA0000</t>
  </si>
  <si>
    <t>Aluminium</t>
  </si>
  <si>
    <t>TCRB0000</t>
  </si>
  <si>
    <t>Tailor Blanks</t>
  </si>
  <si>
    <t>TCRGW000</t>
  </si>
  <si>
    <t>Car Windows</t>
  </si>
  <si>
    <t>TCRM0000</t>
  </si>
  <si>
    <t>Magnesium</t>
  </si>
  <si>
    <t>TCRSF000</t>
  </si>
  <si>
    <t>Steel</t>
  </si>
  <si>
    <t>TCRSLC00</t>
  </si>
  <si>
    <t>Billets / Slabs</t>
  </si>
  <si>
    <t>TCSAC000</t>
  </si>
  <si>
    <t>Coal</t>
  </si>
  <si>
    <t>TCSAX000</t>
  </si>
  <si>
    <t>Lime</t>
  </si>
  <si>
    <t>TCSC0000</t>
  </si>
  <si>
    <t>Primary Material</t>
  </si>
  <si>
    <t>TCSG0000</t>
  </si>
  <si>
    <t>Technical Gases</t>
  </si>
  <si>
    <t>TCSSA000</t>
  </si>
  <si>
    <t>Scrap Puchasing</t>
  </si>
  <si>
    <t>TCT00000</t>
  </si>
  <si>
    <t>Tooling</t>
  </si>
  <si>
    <t>Kugelgelenke, Stabianlenkungen</t>
  </si>
  <si>
    <t>Gummi-Metall</t>
  </si>
  <si>
    <t>Elektrische Systeme</t>
  </si>
  <si>
    <t>Technische Gase</t>
  </si>
  <si>
    <t>Werkzeuge</t>
  </si>
  <si>
    <t>Verbindungselemente</t>
  </si>
  <si>
    <t>Pressteile</t>
  </si>
  <si>
    <t>Rohre / Profile</t>
  </si>
  <si>
    <t>Platinen Tailor</t>
  </si>
  <si>
    <t>Stahl</t>
  </si>
  <si>
    <t>Gussteile (Ferrous)</t>
  </si>
  <si>
    <t>Gussteile (Non-Ferrous)</t>
  </si>
  <si>
    <t>Feinguss</t>
  </si>
  <si>
    <t>Schmiedeteile, Ferrous</t>
  </si>
  <si>
    <t>Stoßdämpfer</t>
  </si>
  <si>
    <t>Bremskomponenten</t>
  </si>
  <si>
    <t>Lenksysteme</t>
  </si>
  <si>
    <t>Abtriebswellen</t>
  </si>
  <si>
    <t>ZSB Modulkomponenten</t>
  </si>
  <si>
    <t>Federn / Stabilisatoren</t>
  </si>
  <si>
    <t>Getriebe</t>
  </si>
  <si>
    <t>Radlager</t>
  </si>
  <si>
    <t>Steuergeräte</t>
  </si>
  <si>
    <t>Elektromotoren</t>
  </si>
  <si>
    <t>AGR Ventile</t>
  </si>
  <si>
    <t>Katalysatoren</t>
  </si>
  <si>
    <t>Kompensatoren</t>
  </si>
  <si>
    <t>Zubehör</t>
  </si>
  <si>
    <t>EES, Sonderteile</t>
  </si>
  <si>
    <t>Dichtungen</t>
  </si>
  <si>
    <t>Maschinen &amp; Anlagen</t>
  </si>
  <si>
    <t>Mess- und Prüfmittel</t>
  </si>
  <si>
    <t>Trennen</t>
  </si>
  <si>
    <t>Wärmebehandlung</t>
  </si>
  <si>
    <t>Mechanische Bearbeitung</t>
  </si>
  <si>
    <t>Schmiermittel</t>
  </si>
  <si>
    <t>Oberflächenbehandlung</t>
  </si>
  <si>
    <t>Schweiß- und Lötstoffe</t>
  </si>
  <si>
    <t>Verpackungen</t>
  </si>
  <si>
    <t>Transportdienstleistungen</t>
  </si>
  <si>
    <t>Personal-Dienstleistungen</t>
  </si>
  <si>
    <t>Presswerkzeuge, intern (Benteler)</t>
  </si>
  <si>
    <t>Sinterteile</t>
  </si>
  <si>
    <t>Luppen</t>
  </si>
  <si>
    <t>Autoglas</t>
  </si>
  <si>
    <t>Kohle</t>
  </si>
  <si>
    <t>Kalk</t>
  </si>
  <si>
    <t>Schrotteinkauf</t>
  </si>
  <si>
    <t>Bremsleitung / Bremsschlauch</t>
  </si>
  <si>
    <t>Oberflächenbearbeitung, Entlacken</t>
  </si>
  <si>
    <t>Matten / Isolierungen</t>
  </si>
  <si>
    <t>Pressteile, ZSB</t>
  </si>
  <si>
    <t>Feinschneidteile</t>
  </si>
  <si>
    <t>Tiefziehteile</t>
  </si>
  <si>
    <t>Gerollte Hülsen</t>
  </si>
  <si>
    <t>Knüppel / Brammen</t>
  </si>
  <si>
    <t>Primär Material</t>
  </si>
  <si>
    <t>Special approval:</t>
  </si>
  <si>
    <t>Requirement</t>
  </si>
  <si>
    <t>Anforderung</t>
  </si>
  <si>
    <t>Proof of Insurance</t>
  </si>
  <si>
    <t>Versicherungsprüfung</t>
  </si>
  <si>
    <t>BENTELER Supplier Quality Requirement</t>
  </si>
  <si>
    <t>BENTELER Lieferanten Qualitätsanforderung (BSQR)</t>
  </si>
  <si>
    <t xml:space="preserve">Supplier Logistic Manual </t>
  </si>
  <si>
    <t>Lieferanten Logistik Handbuch</t>
  </si>
  <si>
    <t>green</t>
  </si>
  <si>
    <t>grün</t>
  </si>
  <si>
    <t>gelb</t>
  </si>
  <si>
    <t>yellow</t>
  </si>
  <si>
    <t>HZP No.:</t>
  </si>
  <si>
    <t>HZP Nr.:</t>
  </si>
  <si>
    <t>Sonderfreigabe:</t>
  </si>
  <si>
    <t>Supplier Assessment on site</t>
  </si>
  <si>
    <t>Lieferantenbewertung vor Ort</t>
  </si>
  <si>
    <t>rot</t>
  </si>
  <si>
    <t>red</t>
  </si>
  <si>
    <t>Vor Ort Bewertung</t>
  </si>
  <si>
    <t>Bestanden</t>
  </si>
  <si>
    <t>Contact Person</t>
  </si>
  <si>
    <t>Kontaktperson</t>
  </si>
  <si>
    <t>Name</t>
  </si>
  <si>
    <t>Buyer Code:</t>
  </si>
  <si>
    <t>Einkäufer Gruppe:</t>
  </si>
  <si>
    <t>Lieferantenklasse:</t>
  </si>
  <si>
    <t>Vendor Class:</t>
  </si>
  <si>
    <t xml:space="preserve">Verbindlich*: </t>
  </si>
  <si>
    <t>Mandatory*:</t>
  </si>
  <si>
    <t>x¹</t>
  </si>
  <si>
    <t xml:space="preserve">VDA 6.3 Potentialanalyse P1 </t>
  </si>
  <si>
    <t>(Selbst-Audit)</t>
  </si>
  <si>
    <t xml:space="preserve">VDA 6.3 Potential Analysis P1 </t>
  </si>
  <si>
    <t>(self-audit)</t>
  </si>
  <si>
    <t>!!! For use by BENTELER only !!!</t>
  </si>
  <si>
    <t>!!! Nur zur BENTELER Verwendung !!!</t>
  </si>
  <si>
    <t>Approved</t>
  </si>
  <si>
    <t>Conditionally Approved</t>
  </si>
  <si>
    <t>Not Approved</t>
  </si>
  <si>
    <t>Freigegeben</t>
  </si>
  <si>
    <t>Bedingt freigegeben</t>
  </si>
  <si>
    <t>Nicht freigegeben</t>
  </si>
  <si>
    <t>Approval</t>
  </si>
  <si>
    <t>Bedingungen:</t>
  </si>
  <si>
    <t>Decision</t>
  </si>
  <si>
    <t>Entscheidung</t>
  </si>
  <si>
    <t>Approval status:</t>
  </si>
  <si>
    <t>Freigabestatus:</t>
  </si>
  <si>
    <t>BENTELER Lieferanten (Vendor) Nr.:</t>
  </si>
  <si>
    <t>BENTELER Supplier (Vendor) No.:</t>
  </si>
  <si>
    <t>Assigned SQE</t>
  </si>
  <si>
    <t>Zugeordneter SQE</t>
  </si>
  <si>
    <t>Decision by:</t>
  </si>
  <si>
    <t>Entscheidung durch:</t>
  </si>
  <si>
    <t>Function</t>
  </si>
  <si>
    <t>Funktion</t>
  </si>
  <si>
    <t>Signature / Date:</t>
  </si>
  <si>
    <t>Unterschrift / Datum:</t>
  </si>
  <si>
    <t>Social Responsibility Check passed</t>
  </si>
  <si>
    <t>Social Responsibility Check not passed</t>
  </si>
  <si>
    <t>Soziale Verantwortung Check bestanden</t>
  </si>
  <si>
    <t>Soziale Verantwortung Check nicht bestanden</t>
  </si>
  <si>
    <t>Regional Procurement Director
(supplier production location)</t>
  </si>
  <si>
    <t>(VC1-2 alle 4 Funktionen verpflichtend / VC3 nur Funktionen 1 und 2 notwendig / VC4 nur Funktion 1 notwendig)</t>
  </si>
  <si>
    <t>(VC1-2 all 4 functions mandatory / VC3 only functions 1 and 2 necessary / VC4 only function 1 necessary)</t>
  </si>
  <si>
    <t>Anzahl der Mitarbeiter des Unternehmens in Bereichen (letzte 3 Jahre)</t>
  </si>
  <si>
    <t>Company employees in areas (Last 3 years)</t>
  </si>
  <si>
    <t>Currency</t>
  </si>
  <si>
    <t>Währung</t>
  </si>
  <si>
    <t>EUR</t>
  </si>
  <si>
    <t>Europäischer Euro</t>
  </si>
  <si>
    <t>European Euro</t>
  </si>
  <si>
    <t>USD</t>
  </si>
  <si>
    <t>US Amerikanische Dollar</t>
  </si>
  <si>
    <t>United States Dollar</t>
  </si>
  <si>
    <t>CNY</t>
  </si>
  <si>
    <t>Chinesischer Renminbi</t>
  </si>
  <si>
    <t>Chinese Renminbi</t>
  </si>
  <si>
    <t>ADP</t>
  </si>
  <si>
    <t>Andorianische Peseta</t>
  </si>
  <si>
    <t>Andoran peseta</t>
  </si>
  <si>
    <t>AED</t>
  </si>
  <si>
    <t>Vereinigte Arabische Emirate Dirham</t>
  </si>
  <si>
    <t>United Arab Emirates Dirham</t>
  </si>
  <si>
    <t>AFA</t>
  </si>
  <si>
    <t>Afghani</t>
  </si>
  <si>
    <t>ALL</t>
  </si>
  <si>
    <t>Albanische Lek</t>
  </si>
  <si>
    <t>Albanian Lek</t>
  </si>
  <si>
    <t>AMD</t>
  </si>
  <si>
    <t>Armenische Dram</t>
  </si>
  <si>
    <t>Armenian Dram</t>
  </si>
  <si>
    <t>ANG</t>
  </si>
  <si>
    <t>Antilianische Gulden</t>
  </si>
  <si>
    <t>West Indian Guilder</t>
  </si>
  <si>
    <t>AON</t>
  </si>
  <si>
    <t>Angolanische neue Kwanza</t>
  </si>
  <si>
    <t>Angolan New Kwanza</t>
  </si>
  <si>
    <t>AOR</t>
  </si>
  <si>
    <t>Angolanische Kwanza Reajustado</t>
  </si>
  <si>
    <t>Angolan Kwanza Reajustado</t>
  </si>
  <si>
    <t>ARS</t>
  </si>
  <si>
    <t>Argentinische Peso</t>
  </si>
  <si>
    <t>Argentine Peso</t>
  </si>
  <si>
    <t>ATS</t>
  </si>
  <si>
    <t>Österreichische Schilling</t>
  </si>
  <si>
    <t>Austrian Schilling</t>
  </si>
  <si>
    <t>AUD</t>
  </si>
  <si>
    <t>Australien Dollar</t>
  </si>
  <si>
    <t>Australian Dollar</t>
  </si>
  <si>
    <t>AWG</t>
  </si>
  <si>
    <t>Arubanische Gulden</t>
  </si>
  <si>
    <t>Aruban Guilder</t>
  </si>
  <si>
    <t>AZM</t>
  </si>
  <si>
    <t>Aserbaidschanische Manat</t>
  </si>
  <si>
    <t>Azerbaijan Manat</t>
  </si>
  <si>
    <t>BAM</t>
  </si>
  <si>
    <t>Bosnia and Herzegovina Convertible Mark</t>
  </si>
  <si>
    <t>BBD</t>
  </si>
  <si>
    <t>Barbados-Dollar</t>
  </si>
  <si>
    <t>Barbados Dollar</t>
  </si>
  <si>
    <t>BDT</t>
  </si>
  <si>
    <t>Bangladesch Taka</t>
  </si>
  <si>
    <t>Bangladesh Taka</t>
  </si>
  <si>
    <t>BEF</t>
  </si>
  <si>
    <t>Belgische Franken</t>
  </si>
  <si>
    <t>Belgian Franc</t>
  </si>
  <si>
    <t>BGN</t>
  </si>
  <si>
    <t>Bulgarische Lew</t>
  </si>
  <si>
    <t>Bulgarian Lev</t>
  </si>
  <si>
    <t>BHD</t>
  </si>
  <si>
    <t>Bahrein-Dinar</t>
  </si>
  <si>
    <t>Bahrain Dinar</t>
  </si>
  <si>
    <t>BIF</t>
  </si>
  <si>
    <t>Burundi Frank</t>
  </si>
  <si>
    <t>Burundi Franc</t>
  </si>
  <si>
    <t>BMD</t>
  </si>
  <si>
    <t>Bermuda Dollar</t>
  </si>
  <si>
    <t>Bermudan Dollar</t>
  </si>
  <si>
    <t>BND</t>
  </si>
  <si>
    <t>Brunei Dollar</t>
  </si>
  <si>
    <t>BOB</t>
  </si>
  <si>
    <t>Boliviano</t>
  </si>
  <si>
    <t>BRL</t>
  </si>
  <si>
    <t>Brasilianische Real</t>
  </si>
  <si>
    <t>Brazilian Real</t>
  </si>
  <si>
    <t>BSD</t>
  </si>
  <si>
    <t>Bahama Dollar</t>
  </si>
  <si>
    <t>Bahaman Dollar</t>
  </si>
  <si>
    <t>BTN</t>
  </si>
  <si>
    <t>Bhutan Ngultrum</t>
  </si>
  <si>
    <t>BWP</t>
  </si>
  <si>
    <t>Botswanische Pula</t>
  </si>
  <si>
    <t>Botswana Pula</t>
  </si>
  <si>
    <t>BYB</t>
  </si>
  <si>
    <t>Weissrussische Rubel</t>
  </si>
  <si>
    <t>Belorussian Ruble</t>
  </si>
  <si>
    <t>BZD</t>
  </si>
  <si>
    <t>Belize-Dollar</t>
  </si>
  <si>
    <t>Belize Dollar</t>
  </si>
  <si>
    <t>Kanadische Dollar</t>
  </si>
  <si>
    <t>Canadian Dollar</t>
  </si>
  <si>
    <t>CFP</t>
  </si>
  <si>
    <t>Französischer Franc (Pazifik Inseln)</t>
  </si>
  <si>
    <t>French Franc (Pacific Islands)</t>
  </si>
  <si>
    <t>CHF</t>
  </si>
  <si>
    <t>Schweizer Franken</t>
  </si>
  <si>
    <t>Swiss Franc</t>
  </si>
  <si>
    <t>CLP</t>
  </si>
  <si>
    <t>Chilenische Pesos</t>
  </si>
  <si>
    <t>Chilean Peso</t>
  </si>
  <si>
    <t>COP</t>
  </si>
  <si>
    <t>Kolumbianische Peso</t>
  </si>
  <si>
    <t>Colombian Peso</t>
  </si>
  <si>
    <t>CRC</t>
  </si>
  <si>
    <t>Costa-Rica-Colon</t>
  </si>
  <si>
    <t>Costa Rica Colon</t>
  </si>
  <si>
    <t>CUP</t>
  </si>
  <si>
    <t>Kubanische Peso</t>
  </si>
  <si>
    <t>Cuban Peso</t>
  </si>
  <si>
    <t>CVE</t>
  </si>
  <si>
    <t>Kap-Verde-Escudo</t>
  </si>
  <si>
    <t>Cape Verde Escudo</t>
  </si>
  <si>
    <t>CYP</t>
  </si>
  <si>
    <t>Zypern Pfund</t>
  </si>
  <si>
    <t>Cyprus Pound</t>
  </si>
  <si>
    <t>CZK</t>
  </si>
  <si>
    <t>Tschechische Krone</t>
  </si>
  <si>
    <t>Czech Krona</t>
  </si>
  <si>
    <t>DJF</t>
  </si>
  <si>
    <t>Dschibuti Frank</t>
  </si>
  <si>
    <t>Djibouti Franc</t>
  </si>
  <si>
    <t>DKK</t>
  </si>
  <si>
    <t>Dänische Kronen</t>
  </si>
  <si>
    <t>Danish Krone</t>
  </si>
  <si>
    <t>DOP</t>
  </si>
  <si>
    <t>Dominikanische Peso</t>
  </si>
  <si>
    <t>Dominican Peso</t>
  </si>
  <si>
    <t>DZD</t>
  </si>
  <si>
    <t>Algerische Dinar</t>
  </si>
  <si>
    <t>Algerian Dinar</t>
  </si>
  <si>
    <t>ECS</t>
  </si>
  <si>
    <t>Ecuadorianische Sucre</t>
  </si>
  <si>
    <t>Ecuadorian Sucre</t>
  </si>
  <si>
    <t>EEK</t>
  </si>
  <si>
    <t>Estnische Krone</t>
  </si>
  <si>
    <t>Estonian Krone</t>
  </si>
  <si>
    <t>EGP</t>
  </si>
  <si>
    <t>Ägyptisches Pfund</t>
  </si>
  <si>
    <t>Egyptian Pound</t>
  </si>
  <si>
    <t>ERN</t>
  </si>
  <si>
    <t>Eritreische Nakfa</t>
  </si>
  <si>
    <t>Eritrean Nafka</t>
  </si>
  <si>
    <t>ESP</t>
  </si>
  <si>
    <t>Spanische Peseten</t>
  </si>
  <si>
    <t>Spanish Peseta</t>
  </si>
  <si>
    <t>ETB</t>
  </si>
  <si>
    <t>Äthiopische Birr</t>
  </si>
  <si>
    <t>Ethiopian Birr</t>
  </si>
  <si>
    <t>FIM</t>
  </si>
  <si>
    <t>Finnische Mark</t>
  </si>
  <si>
    <t>Finnish markka</t>
  </si>
  <si>
    <t>FJD</t>
  </si>
  <si>
    <t>Fidschi-Dollar</t>
  </si>
  <si>
    <t>Fiji Dollar</t>
  </si>
  <si>
    <t>FKP</t>
  </si>
  <si>
    <t>Falkland Pfund</t>
  </si>
  <si>
    <t>Falkland Pound</t>
  </si>
  <si>
    <t>FRF</t>
  </si>
  <si>
    <t>Französische Franken</t>
  </si>
  <si>
    <t>French Franc</t>
  </si>
  <si>
    <t>GBP</t>
  </si>
  <si>
    <t>Britische Pfund</t>
  </si>
  <si>
    <t>British Pound</t>
  </si>
  <si>
    <t>GEL</t>
  </si>
  <si>
    <t>Georgisches Lari</t>
  </si>
  <si>
    <t>Georgian Lari</t>
  </si>
  <si>
    <t>GHC</t>
  </si>
  <si>
    <t>Ghanesische Cedi</t>
  </si>
  <si>
    <t>Ghanian Cedi</t>
  </si>
  <si>
    <t>GIP</t>
  </si>
  <si>
    <t>Gibralter Pfund</t>
  </si>
  <si>
    <t>Gibraltar Pound</t>
  </si>
  <si>
    <t>GMD</t>
  </si>
  <si>
    <t>Gambanesische Dalasi</t>
  </si>
  <si>
    <t>Gambian Dalasi</t>
  </si>
  <si>
    <t>GNF</t>
  </si>
  <si>
    <t>Guinea Franc</t>
  </si>
  <si>
    <t>Guinean Franc</t>
  </si>
  <si>
    <t>GRD</t>
  </si>
  <si>
    <t>Griechische Drachme</t>
  </si>
  <si>
    <t>Greek Drachma</t>
  </si>
  <si>
    <t>GTQ</t>
  </si>
  <si>
    <t>Guatemalische Quetzal</t>
  </si>
  <si>
    <t>Guatemalan Quetzal</t>
  </si>
  <si>
    <t>GWP</t>
  </si>
  <si>
    <t>Guinea-Peso</t>
  </si>
  <si>
    <t>Guinea Peso</t>
  </si>
  <si>
    <t>GYD</t>
  </si>
  <si>
    <t>Guyana-Dollar</t>
  </si>
  <si>
    <t>Guyana Dollar</t>
  </si>
  <si>
    <t>HKD</t>
  </si>
  <si>
    <t>Hong Kong Dollar</t>
  </si>
  <si>
    <t>HNL</t>
  </si>
  <si>
    <t>Honduranische Lempira</t>
  </si>
  <si>
    <t>Honduran Lempira</t>
  </si>
  <si>
    <t>HRK</t>
  </si>
  <si>
    <t>Kroatische Kuna</t>
  </si>
  <si>
    <t>Croatian kuna</t>
  </si>
  <si>
    <t>HTG</t>
  </si>
  <si>
    <t>Haitianische Gourde</t>
  </si>
  <si>
    <t>Haitian Gourde</t>
  </si>
  <si>
    <t>HUF</t>
  </si>
  <si>
    <t>Ungarischer Forint</t>
  </si>
  <si>
    <t>Hungarian Forint</t>
  </si>
  <si>
    <t>IDR</t>
  </si>
  <si>
    <t>Indonesische Rupiah</t>
  </si>
  <si>
    <t>Indonesian Rupiah</t>
  </si>
  <si>
    <t>IEP</t>
  </si>
  <si>
    <t>Irisches Pfund</t>
  </si>
  <si>
    <t>Irish Punt</t>
  </si>
  <si>
    <t>ILS</t>
  </si>
  <si>
    <t>Israelische Schekel</t>
  </si>
  <si>
    <t>Israeli Scheckel</t>
  </si>
  <si>
    <t>INR</t>
  </si>
  <si>
    <t>Indian Rupee</t>
  </si>
  <si>
    <t>IQD</t>
  </si>
  <si>
    <t>Irakische-Dinar</t>
  </si>
  <si>
    <t>Iraqui Dinar</t>
  </si>
  <si>
    <t>IRR</t>
  </si>
  <si>
    <t>Iranische Rial</t>
  </si>
  <si>
    <t>Iranian Rial</t>
  </si>
  <si>
    <t>ISK</t>
  </si>
  <si>
    <t>Isländische Krone</t>
  </si>
  <si>
    <t>Iceland Krona</t>
  </si>
  <si>
    <t>ITL</t>
  </si>
  <si>
    <t>Italienische Lire</t>
  </si>
  <si>
    <t>Italian Lira</t>
  </si>
  <si>
    <t>JMD</t>
  </si>
  <si>
    <t>Jamaika-Dollar</t>
  </si>
  <si>
    <t>Jamaican Dollar</t>
  </si>
  <si>
    <t>JOD</t>
  </si>
  <si>
    <t>Jordan-Dinar</t>
  </si>
  <si>
    <t>Jordanian Dinar</t>
  </si>
  <si>
    <t>JPY</t>
  </si>
  <si>
    <t>Japanische Yen</t>
  </si>
  <si>
    <t>Japanese Yen</t>
  </si>
  <si>
    <t>KES</t>
  </si>
  <si>
    <t>Kenianische Schilling</t>
  </si>
  <si>
    <t>Kenyan Shilling</t>
  </si>
  <si>
    <t>KGS</t>
  </si>
  <si>
    <t>Kirgisische Som</t>
  </si>
  <si>
    <t>Kyrgyzstan Som</t>
  </si>
  <si>
    <t>KHR</t>
  </si>
  <si>
    <t>Kambodschanische Riel</t>
  </si>
  <si>
    <t>Cambodian Riel</t>
  </si>
  <si>
    <t>KMF</t>
  </si>
  <si>
    <t>Komoren-Frank</t>
  </si>
  <si>
    <t>Comoros Franc</t>
  </si>
  <si>
    <t>KPW</t>
  </si>
  <si>
    <t>Nordkoreanische Won</t>
  </si>
  <si>
    <t>North Korean Won</t>
  </si>
  <si>
    <t>KRW</t>
  </si>
  <si>
    <t>Südkoreanische Won</t>
  </si>
  <si>
    <t>South Korean Won</t>
  </si>
  <si>
    <t>KWD</t>
  </si>
  <si>
    <t>Kuwaitische Dinar</t>
  </si>
  <si>
    <t>Kuwaiti Dinar</t>
  </si>
  <si>
    <t>KYD</t>
  </si>
  <si>
    <t>Kaiman-Dollar</t>
  </si>
  <si>
    <t>Cayman Dollar</t>
  </si>
  <si>
    <t>KZT</t>
  </si>
  <si>
    <t>Kazachische Tenge</t>
  </si>
  <si>
    <t>Kazakstanian Tenge</t>
  </si>
  <si>
    <t>LAK</t>
  </si>
  <si>
    <t>Laotische Kip</t>
  </si>
  <si>
    <t>Laotian Kip</t>
  </si>
  <si>
    <t>LBP</t>
  </si>
  <si>
    <t>Libanesisches Pfund</t>
  </si>
  <si>
    <t>Lebanese Pound</t>
  </si>
  <si>
    <t>LKR</t>
  </si>
  <si>
    <t>Sri-Lanka-Rupie</t>
  </si>
  <si>
    <t>Sri Lankan Rupee</t>
  </si>
  <si>
    <t>LRD</t>
  </si>
  <si>
    <t>Liberianischer Dollar</t>
  </si>
  <si>
    <t>Liberian Dollar</t>
  </si>
  <si>
    <t>LSL</t>
  </si>
  <si>
    <t>Lesotische Loti</t>
  </si>
  <si>
    <t>Lesotho Loti</t>
  </si>
  <si>
    <t>LTL</t>
  </si>
  <si>
    <t>Litauische Lita</t>
  </si>
  <si>
    <t>Lithuanian Lita</t>
  </si>
  <si>
    <t>LUF</t>
  </si>
  <si>
    <t>Luxembourgische Franken</t>
  </si>
  <si>
    <t>Luxembourg Franc</t>
  </si>
  <si>
    <t>LVL</t>
  </si>
  <si>
    <t>Lettländische Lat</t>
  </si>
  <si>
    <t>Latvian Lat</t>
  </si>
  <si>
    <t>LYD</t>
  </si>
  <si>
    <t>Libyscher Dinar</t>
  </si>
  <si>
    <t>Libyan Dinar</t>
  </si>
  <si>
    <t>MAD</t>
  </si>
  <si>
    <t>Marokkanische Dirham</t>
  </si>
  <si>
    <t>Moroccan Dirham</t>
  </si>
  <si>
    <t>MDL</t>
  </si>
  <si>
    <t>Moldavische Lei</t>
  </si>
  <si>
    <t>Moldavian Leu</t>
  </si>
  <si>
    <t>MGF</t>
  </si>
  <si>
    <t>Madagasker Frank</t>
  </si>
  <si>
    <t>Madagascan Franc</t>
  </si>
  <si>
    <t>MKD</t>
  </si>
  <si>
    <t>Mazedonische Denar</t>
  </si>
  <si>
    <t>Macedonian Denar</t>
  </si>
  <si>
    <t>MMK</t>
  </si>
  <si>
    <t>Myanmar Kyat</t>
  </si>
  <si>
    <t>MNT</t>
  </si>
  <si>
    <t>Mongolianische Tugrik</t>
  </si>
  <si>
    <t>Mongolian Tugrik</t>
  </si>
  <si>
    <t>MOP</t>
  </si>
  <si>
    <t>Macauanische Pataca</t>
  </si>
  <si>
    <t>Macao Pataca</t>
  </si>
  <si>
    <t>MRO</t>
  </si>
  <si>
    <t>Mauretanische Ouguiya</t>
  </si>
  <si>
    <t>Mauritanian Ouguiya</t>
  </si>
  <si>
    <t>MTL</t>
  </si>
  <si>
    <t>Maltesische Lira</t>
  </si>
  <si>
    <t>Maltese Lira</t>
  </si>
  <si>
    <t>MUR</t>
  </si>
  <si>
    <t>Mauritius Rupie</t>
  </si>
  <si>
    <t>Mauritian Rupee</t>
  </si>
  <si>
    <t>MVR</t>
  </si>
  <si>
    <t>Maledivische Rufiyaa</t>
  </si>
  <si>
    <t>Maldive Rufiyaa</t>
  </si>
  <si>
    <t>MWK</t>
  </si>
  <si>
    <t>Malawi-Kwacha</t>
  </si>
  <si>
    <t>Malawi Kwacha</t>
  </si>
  <si>
    <t>MXN</t>
  </si>
  <si>
    <t>Mexikanische Pesos</t>
  </si>
  <si>
    <t>Mexican Pesos</t>
  </si>
  <si>
    <t>MYR</t>
  </si>
  <si>
    <t>Malaysischer Ringgit</t>
  </si>
  <si>
    <t>Malaysian Ringgit</t>
  </si>
  <si>
    <t>MZM</t>
  </si>
  <si>
    <t>Mosambikanische Metical</t>
  </si>
  <si>
    <t>Mozambique Metical</t>
  </si>
  <si>
    <t>NAD</t>
  </si>
  <si>
    <t>Namibia Dollar</t>
  </si>
  <si>
    <t>Namibian Dollar</t>
  </si>
  <si>
    <t>NGN</t>
  </si>
  <si>
    <t>Nigerianische Naira</t>
  </si>
  <si>
    <t>Nigerian Naira</t>
  </si>
  <si>
    <t>NIO</t>
  </si>
  <si>
    <t>Nicaraguanische Cordoba Oro</t>
  </si>
  <si>
    <t>Nicaraguan Cordoba Oro</t>
  </si>
  <si>
    <t>NLG</t>
  </si>
  <si>
    <t>Niederländische Gulden</t>
  </si>
  <si>
    <t>Dutch Guilder</t>
  </si>
  <si>
    <t>NOK</t>
  </si>
  <si>
    <t>Norwegische Kronen</t>
  </si>
  <si>
    <t>Norwegian Krone</t>
  </si>
  <si>
    <t>NPR</t>
  </si>
  <si>
    <t>Nepalesische Rupie</t>
  </si>
  <si>
    <t>Nepalese Rupee</t>
  </si>
  <si>
    <t>NZD</t>
  </si>
  <si>
    <t>Neuseeland-Dollar</t>
  </si>
  <si>
    <t>New Zealand Dollars</t>
  </si>
  <si>
    <t>OMR</t>
  </si>
  <si>
    <t>Rial Omani</t>
  </si>
  <si>
    <t>Omani Rial</t>
  </si>
  <si>
    <t>PAB</t>
  </si>
  <si>
    <t>Panamaische Balboa</t>
  </si>
  <si>
    <t>Panamanian Balboa</t>
  </si>
  <si>
    <t>PEN</t>
  </si>
  <si>
    <t>Peruanischer neuer Sol</t>
  </si>
  <si>
    <t>Peruvian New Sol</t>
  </si>
  <si>
    <t>PGK</t>
  </si>
  <si>
    <t>Papua-Neuguineische Kina</t>
  </si>
  <si>
    <t>Papua New Guinea Kina</t>
  </si>
  <si>
    <t>PHP</t>
  </si>
  <si>
    <t>Philippinische Peso</t>
  </si>
  <si>
    <t>Philippine Peso</t>
  </si>
  <si>
    <t>PKR</t>
  </si>
  <si>
    <t>Pakistanische Rupie</t>
  </si>
  <si>
    <t>Pakistani Rupee</t>
  </si>
  <si>
    <t>PLN</t>
  </si>
  <si>
    <t>Polnische Zloty (neu)</t>
  </si>
  <si>
    <t>Polish Zloty (new)</t>
  </si>
  <si>
    <t>PLZ</t>
  </si>
  <si>
    <t>Polish Zloty</t>
  </si>
  <si>
    <t>PTE</t>
  </si>
  <si>
    <t>Portugiesische Escudos</t>
  </si>
  <si>
    <t>Portuguese Escudo</t>
  </si>
  <si>
    <t>PYG</t>
  </si>
  <si>
    <t>Paraguayische Guarani</t>
  </si>
  <si>
    <t>Paraguayan Guarani</t>
  </si>
  <si>
    <t>QAR</t>
  </si>
  <si>
    <t>Katar-Riyal</t>
  </si>
  <si>
    <t>Qatar Rial</t>
  </si>
  <si>
    <t>RMB</t>
  </si>
  <si>
    <t>Chinesische RenMinBi Yuan</t>
  </si>
  <si>
    <t>Chinese Yuan Renminbi</t>
  </si>
  <si>
    <t>ROL</t>
  </si>
  <si>
    <t>Rumänische Lei</t>
  </si>
  <si>
    <t>Romanian Leu</t>
  </si>
  <si>
    <t>RON</t>
  </si>
  <si>
    <t>Romanian Leu New</t>
  </si>
  <si>
    <t>RSD</t>
  </si>
  <si>
    <t>Serbischer Dinar</t>
  </si>
  <si>
    <t>Serbian Dinar</t>
  </si>
  <si>
    <t>RUB</t>
  </si>
  <si>
    <t>Russische Rubel</t>
  </si>
  <si>
    <t>Russian Ruble</t>
  </si>
  <si>
    <t>RUE</t>
  </si>
  <si>
    <t>RWF</t>
  </si>
  <si>
    <t>Ruanda Franc</t>
  </si>
  <si>
    <t>Rwandan Franc</t>
  </si>
  <si>
    <t>SAR</t>
  </si>
  <si>
    <t>Saudi Riyal</t>
  </si>
  <si>
    <t>SBD</t>
  </si>
  <si>
    <t>Salomonen Dollar</t>
  </si>
  <si>
    <t>Solomon Islands Dollar</t>
  </si>
  <si>
    <t>SCR</t>
  </si>
  <si>
    <t>Seychellen Rupie</t>
  </si>
  <si>
    <t>Seychelles Rupee</t>
  </si>
  <si>
    <t>SDP</t>
  </si>
  <si>
    <t>Sudanesisches Pfund</t>
  </si>
  <si>
    <t>Sudanese Pound</t>
  </si>
  <si>
    <t>SEK</t>
  </si>
  <si>
    <t>Schwedische Kronen</t>
  </si>
  <si>
    <t>Swedish Krona</t>
  </si>
  <si>
    <t>SGD</t>
  </si>
  <si>
    <t>Singapur Dollar</t>
  </si>
  <si>
    <t>Singapore Dollar</t>
  </si>
  <si>
    <t>SHP</t>
  </si>
  <si>
    <t>St. Helena Pfund</t>
  </si>
  <si>
    <t>St.Helena Pound</t>
  </si>
  <si>
    <t>SIT</t>
  </si>
  <si>
    <t>Slowenische Tolar</t>
  </si>
  <si>
    <t>Slovenian Tolar</t>
  </si>
  <si>
    <t>SKK</t>
  </si>
  <si>
    <t>Slowakische Krone</t>
  </si>
  <si>
    <t>Slovakian Krona</t>
  </si>
  <si>
    <t>SLL</t>
  </si>
  <si>
    <t>Sierra Leone Leone</t>
  </si>
  <si>
    <t>SOS</t>
  </si>
  <si>
    <t>Somalia Schilling</t>
  </si>
  <si>
    <t>Somalian Shilling</t>
  </si>
  <si>
    <t>SRG</t>
  </si>
  <si>
    <t>Surinamische Gulden</t>
  </si>
  <si>
    <t>Surinam Guilder</t>
  </si>
  <si>
    <t>STD</t>
  </si>
  <si>
    <t>Santomeische Dobra</t>
  </si>
  <si>
    <t>Sao Tome / Principe Dobra</t>
  </si>
  <si>
    <t>SVC</t>
  </si>
  <si>
    <t>El Salvador-Colon</t>
  </si>
  <si>
    <t>El Salvador Colon</t>
  </si>
  <si>
    <t>SYP</t>
  </si>
  <si>
    <t>Syrisches Pfund</t>
  </si>
  <si>
    <t>Syrian Pound</t>
  </si>
  <si>
    <t>SZL</t>
  </si>
  <si>
    <t>Swasiländische Lilangeni</t>
  </si>
  <si>
    <t>Swaziland Lilangeni</t>
  </si>
  <si>
    <t>THB</t>
  </si>
  <si>
    <t>Thailand Bhat</t>
  </si>
  <si>
    <t>Thailand Baht</t>
  </si>
  <si>
    <t>TJR</t>
  </si>
  <si>
    <t>Tadschikische Rubel</t>
  </si>
  <si>
    <t>Tajikistani Ruble</t>
  </si>
  <si>
    <t>TMM</t>
  </si>
  <si>
    <t>Turkmenische Manat</t>
  </si>
  <si>
    <t>Turkmenistani Manat</t>
  </si>
  <si>
    <t>TND</t>
  </si>
  <si>
    <t>Tunesischer Dinar</t>
  </si>
  <si>
    <t>Tunisian Dinar</t>
  </si>
  <si>
    <t>TOP</t>
  </si>
  <si>
    <t>Tongaische Pa'anga</t>
  </si>
  <si>
    <t>Tongan Pa'anga</t>
  </si>
  <si>
    <t>TPE</t>
  </si>
  <si>
    <t>Timor Escudo</t>
  </si>
  <si>
    <t>TRL</t>
  </si>
  <si>
    <t>Türkische Lira</t>
  </si>
  <si>
    <t>Turkish Lira</t>
  </si>
  <si>
    <t>TRY</t>
  </si>
  <si>
    <t>New Turkish Lira</t>
  </si>
  <si>
    <t>TTD</t>
  </si>
  <si>
    <t>Trinidad-u. Tobago-Dollar</t>
  </si>
  <si>
    <t>Trinidad and Tobago Dollar</t>
  </si>
  <si>
    <t>TWD</t>
  </si>
  <si>
    <t>Neuer Taiwan-Dollar</t>
  </si>
  <si>
    <t>New Taiwan Dollar</t>
  </si>
  <si>
    <t>TZS</t>
  </si>
  <si>
    <t>Tansania-Shilling</t>
  </si>
  <si>
    <t>Tanzanian Shilling</t>
  </si>
  <si>
    <t>UAH</t>
  </si>
  <si>
    <t>Ukrainische Karbowanez</t>
  </si>
  <si>
    <t>Ukrainian Hryvnia</t>
  </si>
  <si>
    <t>UAK</t>
  </si>
  <si>
    <t>Ukrainian Karbowanez (old)</t>
  </si>
  <si>
    <t>UGX</t>
  </si>
  <si>
    <t>Uganda Schilling</t>
  </si>
  <si>
    <t>Ugandan Shilling</t>
  </si>
  <si>
    <t>USDN</t>
  </si>
  <si>
    <t>(Intern) Amerikanische Dollar (5 Nachk.)</t>
  </si>
  <si>
    <t>(Internal) United States Dollar (5 Dec.)</t>
  </si>
  <si>
    <t>UYU</t>
  </si>
  <si>
    <t>Uruguy Peso (neu)</t>
  </si>
  <si>
    <t>Uruguayan Peso (new)</t>
  </si>
  <si>
    <t>UZS</t>
  </si>
  <si>
    <t>Uzbekistan Sum</t>
  </si>
  <si>
    <t>Uzbekistan Som</t>
  </si>
  <si>
    <t>VEB</t>
  </si>
  <si>
    <t>Venezolanische Bolivar</t>
  </si>
  <si>
    <t>Venezuelan Bolivar</t>
  </si>
  <si>
    <t>VND</t>
  </si>
  <si>
    <t>Vietnamesische Dong</t>
  </si>
  <si>
    <t>Vietnamese Dong</t>
  </si>
  <si>
    <t>VUV</t>
  </si>
  <si>
    <t>Vanuatische Vatu</t>
  </si>
  <si>
    <t>Vanuatu Vatu</t>
  </si>
  <si>
    <t>WST</t>
  </si>
  <si>
    <t>Samoanische Tala</t>
  </si>
  <si>
    <t>Samoan Tala</t>
  </si>
  <si>
    <t>XAF</t>
  </si>
  <si>
    <t>CFA Franc  BEAC</t>
  </si>
  <si>
    <t>Gabon CFA Franc BEAC</t>
  </si>
  <si>
    <t>XCD</t>
  </si>
  <si>
    <t>Ostkaribischer Dollar</t>
  </si>
  <si>
    <t>East Carribean Dollar</t>
  </si>
  <si>
    <t>XDS</t>
  </si>
  <si>
    <t>St. Christopher Dollar</t>
  </si>
  <si>
    <t>XEU</t>
  </si>
  <si>
    <t>Europäische Währungs Einheit (E.C.U.)</t>
  </si>
  <si>
    <t>European Currency Unit (E.C.U.)</t>
  </si>
  <si>
    <t>XOF</t>
  </si>
  <si>
    <t>CFA Franc  BCEAO</t>
  </si>
  <si>
    <t>Benin CFA Franc BCEAO</t>
  </si>
  <si>
    <t>XPF</t>
  </si>
  <si>
    <t>CFP Franc</t>
  </si>
  <si>
    <t>YEE</t>
  </si>
  <si>
    <t>Special currency EUR (Russia)</t>
  </si>
  <si>
    <t>YER</t>
  </si>
  <si>
    <t>Jemen-Rial</t>
  </si>
  <si>
    <t>Yemeni Ryal</t>
  </si>
  <si>
    <t>YEU</t>
  </si>
  <si>
    <t>Special currency USD (Russia)</t>
  </si>
  <si>
    <t>YUM</t>
  </si>
  <si>
    <t>Jugoslawische neue Dinar</t>
  </si>
  <si>
    <t>New Yugoslavian Dinar</t>
  </si>
  <si>
    <t>ZAR</t>
  </si>
  <si>
    <t>Südafrikanische Rand</t>
  </si>
  <si>
    <t>South African Rand</t>
  </si>
  <si>
    <t>ZMK</t>
  </si>
  <si>
    <t>Zambianische Kwacha</t>
  </si>
  <si>
    <t>Zambian Kwacha</t>
  </si>
  <si>
    <t>ZRN</t>
  </si>
  <si>
    <t>Zaire</t>
  </si>
  <si>
    <t>ZWD</t>
  </si>
  <si>
    <t>Simbabwe Dollar</t>
  </si>
  <si>
    <t>Zimbabwean Dollar</t>
  </si>
  <si>
    <t>Within 180 days without discount</t>
  </si>
  <si>
    <t>Within 120 days without discount</t>
  </si>
  <si>
    <t>Within 90 days without discount</t>
  </si>
  <si>
    <t>Within 60 days without discount</t>
  </si>
  <si>
    <t xml:space="preserve">Within 45 days without discount </t>
  </si>
  <si>
    <t>Within 30 days without discount</t>
  </si>
  <si>
    <t>Innerhalb 180 Tage ohne Skonto</t>
  </si>
  <si>
    <t>Innerhalb 120 Tage ohne Skonto</t>
  </si>
  <si>
    <t>Innerhalb 90 Tage ohne Skonto</t>
  </si>
  <si>
    <t>Innerhalb 60 Tage ohne Skonto</t>
  </si>
  <si>
    <t>Innerhalb 45 Tage ohne Skonto</t>
  </si>
  <si>
    <t>Innerhalb 30 Tage ohne Skonto</t>
  </si>
  <si>
    <t>BENTELER</t>
  </si>
  <si>
    <t>Supplier</t>
  </si>
  <si>
    <t>Lieferant</t>
  </si>
  <si>
    <t>Anforderer (Einkäufer)</t>
  </si>
  <si>
    <t>Requester (Buyer)</t>
  </si>
  <si>
    <t>Did your company implement a process to continuously improve the energy related performance? (Program/Goals)</t>
  </si>
  <si>
    <t>Did your company implement a process to continuously improve the environmental performance? (Program/Goals)</t>
  </si>
  <si>
    <t>Do you have any completed external questionnaire concerning sustainability (e.g. NQC, EcoVadis, etc.)? Have you obtained any external rating?  If you have already completed a questionnaire for an other automotive customer and want to share the rating instead completing Section E of this Self-Assessment Questionnaire, please provide evidence about the obtained sustainability rating.</t>
  </si>
  <si>
    <t>Haben Sie einen ausgefüllten externen Fragebogen zur Nachhaltigkeit (z.B. NQC, EcoVadis, etc.)? Haben Sie ein externes Rating erhalten? Wenn Sie bereits einen Fragebogen für einen anderen Automobilkunden ausgefüllt haben und die Bewertung mit uns teilen möchten, anstatt Abschnitt E dieses Self-Assessment-Fragebogens auszufüllen, erbringen Sie bitte einen Nachweis über die erhaltene Nachhaltigkeitsbewertung.</t>
  </si>
  <si>
    <r>
      <t xml:space="preserve">5. Section </t>
    </r>
    <r>
      <rPr>
        <b/>
        <sz val="12"/>
        <rFont val="Arial"/>
        <family val="2"/>
      </rPr>
      <t>F</t>
    </r>
    <r>
      <rPr>
        <b/>
        <sz val="10"/>
        <rFont val="Arial"/>
        <family val="2"/>
      </rPr>
      <t xml:space="preserve"> </t>
    </r>
    <r>
      <rPr>
        <b/>
        <sz val="12"/>
        <rFont val="Arial"/>
        <family val="2"/>
      </rPr>
      <t>Supplier Approval Form</t>
    </r>
  </si>
  <si>
    <r>
      <t xml:space="preserve">3. Wie man Sektion </t>
    </r>
    <r>
      <rPr>
        <b/>
        <sz val="12"/>
        <rFont val="Arial"/>
        <family val="2"/>
      </rPr>
      <t>F</t>
    </r>
    <r>
      <rPr>
        <b/>
        <sz val="10"/>
        <rFont val="Arial"/>
        <family val="2"/>
      </rPr>
      <t xml:space="preserve"> </t>
    </r>
    <r>
      <rPr>
        <b/>
        <sz val="12"/>
        <rFont val="Arial"/>
        <family val="2"/>
      </rPr>
      <t xml:space="preserve">Supplier Approval Form </t>
    </r>
    <r>
      <rPr>
        <b/>
        <sz val="10"/>
        <rFont val="Arial"/>
        <family val="2"/>
      </rPr>
      <t>benutzt</t>
    </r>
  </si>
  <si>
    <t>Vorheriger / Historischer Firmenname</t>
  </si>
  <si>
    <t>Former / historical company name</t>
  </si>
  <si>
    <t>Managing Director / CEO</t>
  </si>
  <si>
    <t>(Only USA / South Africa)</t>
  </si>
  <si>
    <t>(Nur USA / Südafrika)</t>
  </si>
  <si>
    <t>Company turnover / investments (Last 3 years)</t>
  </si>
  <si>
    <t>Unternehmensumsatz / Investitionen (letzte 3 Jahre)</t>
  </si>
  <si>
    <t>Enclosed</t>
  </si>
  <si>
    <t>Beigefügt</t>
  </si>
  <si>
    <t>Umweltschutzmanager</t>
  </si>
  <si>
    <t>Logistikmanager</t>
  </si>
  <si>
    <t>Qualitätsmanager</t>
  </si>
  <si>
    <t>Verkaufsmanager</t>
  </si>
  <si>
    <t>Geschäftsführer / CEO</t>
  </si>
  <si>
    <t>Rückrufkostenversicherung</t>
  </si>
  <si>
    <t>Recall Cost Insurance</t>
  </si>
  <si>
    <t>Erweiterte Produkthaftpflichtversicherung</t>
  </si>
  <si>
    <t>Extended Product Liability Insurance</t>
  </si>
  <si>
    <t>M €</t>
  </si>
  <si>
    <t>DE</t>
  </si>
  <si>
    <t>EN</t>
  </si>
  <si>
    <t>Schmiedeteile, Aluminium</t>
  </si>
  <si>
    <t>Plastik, Gummi</t>
  </si>
  <si>
    <t>Service-Serie, Verpacken, Etikettieren, Sortieren</t>
  </si>
  <si>
    <t>Service-Serial, Packaging, Labeling, Sorting</t>
  </si>
  <si>
    <t>Machining</t>
  </si>
  <si>
    <t>TCIAC005</t>
  </si>
  <si>
    <t>Kleber, Serie</t>
  </si>
  <si>
    <t>Glue, Serial</t>
  </si>
  <si>
    <t>Oberlächenbehandlung Material</t>
  </si>
  <si>
    <t>Logistikdienstleistungen</t>
  </si>
  <si>
    <t>Logistic Services</t>
  </si>
  <si>
    <t>TCISC000</t>
  </si>
  <si>
    <t>Labore und Testdienstleistungen</t>
  </si>
  <si>
    <t>Laboratories &amp; Testings</t>
  </si>
  <si>
    <t>Commercial register number:</t>
  </si>
  <si>
    <t>(Please attach a current extract from the commercial register (PDF))</t>
  </si>
  <si>
    <t>*Bitte fügen Sie ein offizielles Dokument mit der Bankverbindung bei (PDF).</t>
  </si>
  <si>
    <t>*Please attach an official document stating the bank details (PDF)</t>
  </si>
  <si>
    <t>(Bitte fügen Sie einen aktuellen Handelsregisterauszug (PDF) bei)</t>
  </si>
  <si>
    <t>Datenschutzbeauftragter (DPO)</t>
  </si>
  <si>
    <t>Data Protection Officer (DPO)</t>
  </si>
  <si>
    <t>Manager Informationssicherheit (CISO)</t>
  </si>
  <si>
    <t>Chief Information Security Officer (CISO)</t>
  </si>
  <si>
    <t>Manager IT-Sicherheit (ISM)</t>
  </si>
  <si>
    <t>IT-Security Manager (ISM)</t>
  </si>
  <si>
    <t>ISO/IEC 27001</t>
  </si>
  <si>
    <t>Management Certification</t>
  </si>
  <si>
    <t>Zertifizierung des Managements</t>
  </si>
  <si>
    <t>ISO 45001 (vormals OHSAS 18001)</t>
  </si>
  <si>
    <t>ISO 45001 (former OHSAS 18001)</t>
  </si>
  <si>
    <t>Gesundheits &amp; Sicherheits Management System (z.B. ISO 45001 (vormals OHSAS 18001), ANSI Z10, CSA Z1000, BS 8800, OSHA VPP)</t>
  </si>
  <si>
    <t>Health &amp; Safety Management System (e.g. ISO 45001 (former OHSAS 18001), ANSI Z10, CSA Z1000, BS 8800, OSHA VPP)</t>
  </si>
  <si>
    <t>1.4</t>
  </si>
  <si>
    <t>Nr. 5 nicht erforderlich</t>
  </si>
  <si>
    <t>No. 5 not necessary</t>
  </si>
  <si>
    <t>SOC 2</t>
  </si>
  <si>
    <t>Did your company implement procedures to comply to regulations of EU-GDPR?</t>
  </si>
  <si>
    <t>Hat Ihr Unternehmen Verfahren zur Einhaltung der Bestimmungen der EU-DSGVO eingeführt?</t>
  </si>
  <si>
    <t>Hat Ihr Unternehmen einen Prozess zur kontinuierlichen Verbesserung des Datenschutz, IT- und Informationssicherheit implementiert? (Programm/Ziele)</t>
  </si>
  <si>
    <t>Did your company implement a process to continuously improve the data protection, IT- and information security? (Program/Goals)</t>
  </si>
  <si>
    <t>Erhalten Ihre Mitarbeiter regelmäßige Schulungen zum Thema Datenschutz, IT- und Informationssicherheit?</t>
  </si>
  <si>
    <t>Do your associates get periodic trainings related to data protection, IT- and information security?</t>
  </si>
  <si>
    <t>TISAX Verfahren</t>
  </si>
  <si>
    <t>TISAX Assessment</t>
  </si>
  <si>
    <t>Kompetenz:</t>
  </si>
  <si>
    <t>Kernkompetenzen</t>
  </si>
  <si>
    <t>Competence:</t>
  </si>
  <si>
    <t>Steuernummer:</t>
  </si>
  <si>
    <t>Kommunikationssprache:</t>
  </si>
  <si>
    <t>Tax identification number:</t>
  </si>
  <si>
    <t>Language of communication:</t>
  </si>
  <si>
    <t>BIC</t>
  </si>
  <si>
    <t>Liste erforderlicher Anlagen (als PDF Dateien)</t>
  </si>
  <si>
    <t>List of mandatory attachments (as PDF files)</t>
  </si>
  <si>
    <t>*Bitte fügen Sie eine Kopie der Management-Zertifikate bei (PDF)</t>
  </si>
  <si>
    <t>*Please attach a copy of the management certificates (PDF)</t>
  </si>
  <si>
    <t>Exportkontrollbeauftragter</t>
  </si>
  <si>
    <t>Export control - responsible</t>
  </si>
  <si>
    <t>Bitte in Section A eintragen!</t>
  </si>
  <si>
    <t>Please enter in Section A!</t>
  </si>
  <si>
    <t>Weiter mit Nr. 2</t>
  </si>
  <si>
    <t>Weiter mit Nr. 3</t>
  </si>
  <si>
    <t>Weiter mit Nr. 4</t>
  </si>
  <si>
    <t>Weiter mit Nr. 5</t>
  </si>
  <si>
    <t>Continue with No. 3</t>
  </si>
  <si>
    <t>Continue with No. 4</t>
  </si>
  <si>
    <t>Continue with No. 5</t>
  </si>
  <si>
    <t>Cyber Security</t>
  </si>
  <si>
    <t>TISAX Label - Very high protection (AL3)</t>
  </si>
  <si>
    <t>TISAX Label - High protection (AL2)</t>
  </si>
  <si>
    <t>Cybersicherheit</t>
  </si>
  <si>
    <t>Self-disclosure VDA ISA</t>
  </si>
  <si>
    <t>Selbstauskunft VDA ISA</t>
  </si>
  <si>
    <t>Freigabe ihrer TISAX Scope ID ist erforderlich, BENTELER TISAX Teilnehmer-ID:</t>
  </si>
  <si>
    <t>Release of your TISAX Scope ID is mandatory, BENTELER TISAX Participant ID:</t>
  </si>
  <si>
    <t>PMKHWN</t>
  </si>
  <si>
    <t>Information about Environmental / Safety / Energy / Cyber Security Management in the company</t>
  </si>
  <si>
    <t>Informationen über Umwelt / Sicherheit / Energie / Cybersicherheit Management im Unternehmen</t>
  </si>
  <si>
    <t>Bewertung HSE- / Energie- / Cybersicherheit Management</t>
  </si>
  <si>
    <t>Evaluation of HSE- / Energy- / Cyber Security Management</t>
  </si>
  <si>
    <t>Bitte erläutern sie ihren Prozess:</t>
  </si>
  <si>
    <t>Please explain your process:</t>
  </si>
  <si>
    <t>Country</t>
  </si>
  <si>
    <t>S1</t>
  </si>
  <si>
    <t>Austria</t>
  </si>
  <si>
    <t>Belgium</t>
  </si>
  <si>
    <t>Brazil</t>
  </si>
  <si>
    <t>China</t>
  </si>
  <si>
    <t>Czechia</t>
  </si>
  <si>
    <t>Denmark</t>
  </si>
  <si>
    <t>Finland</t>
  </si>
  <si>
    <t>France</t>
  </si>
  <si>
    <t>Germany</t>
  </si>
  <si>
    <t>Hungary</t>
  </si>
  <si>
    <t>India</t>
  </si>
  <si>
    <t>Japan</t>
  </si>
  <si>
    <t>Mexico</t>
  </si>
  <si>
    <t>Norway</t>
  </si>
  <si>
    <t>Poland</t>
  </si>
  <si>
    <t>Portugal</t>
  </si>
  <si>
    <t>Russia</t>
  </si>
  <si>
    <t>Slovakia</t>
  </si>
  <si>
    <t>South Africa</t>
  </si>
  <si>
    <t>Spain</t>
  </si>
  <si>
    <t>Sweden</t>
  </si>
  <si>
    <t>Switzerland</t>
  </si>
  <si>
    <t>Thailand</t>
  </si>
  <si>
    <t>Turkey</t>
  </si>
  <si>
    <t>United Kingdom</t>
  </si>
  <si>
    <t>United States of America</t>
  </si>
  <si>
    <t>====================</t>
  </si>
  <si>
    <t>Afghanistan</t>
  </si>
  <si>
    <t>Albania</t>
  </si>
  <si>
    <t>Algeria</t>
  </si>
  <si>
    <t>Angola</t>
  </si>
  <si>
    <t>Argentina</t>
  </si>
  <si>
    <t>Armenia</t>
  </si>
  <si>
    <t>Australia</t>
  </si>
  <si>
    <t>Azerbaijan</t>
  </si>
  <si>
    <t>Bahamas</t>
  </si>
  <si>
    <t>Bahrain</t>
  </si>
  <si>
    <t>Bangladesh</t>
  </si>
  <si>
    <t>Barbados</t>
  </si>
  <si>
    <t>Belarus</t>
  </si>
  <si>
    <t>Benin</t>
  </si>
  <si>
    <t>Bhutan</t>
  </si>
  <si>
    <t>Bolivia</t>
  </si>
  <si>
    <t>Bosnia and Herzegovina</t>
  </si>
  <si>
    <t>Botswana</t>
  </si>
  <si>
    <t>Bulgaria</t>
  </si>
  <si>
    <t>Burkina Faso</t>
  </si>
  <si>
    <t>Burundi</t>
  </si>
  <si>
    <t>Cabo Verde</t>
  </si>
  <si>
    <t>Cambodia</t>
  </si>
  <si>
    <t>Cameroon</t>
  </si>
  <si>
    <t>Canada</t>
  </si>
  <si>
    <t>Central African Republic</t>
  </si>
  <si>
    <t>Chad</t>
  </si>
  <si>
    <t>Chile</t>
  </si>
  <si>
    <t>Colombia</t>
  </si>
  <si>
    <t>Comoros</t>
  </si>
  <si>
    <t>Congo</t>
  </si>
  <si>
    <t>Costa Rica</t>
  </si>
  <si>
    <t>Cote d'Ivoire</t>
  </si>
  <si>
    <t>Croatia</t>
  </si>
  <si>
    <t>Cuba</t>
  </si>
  <si>
    <t>Cyprus</t>
  </si>
  <si>
    <t>Democratic Republic of the Congo</t>
  </si>
  <si>
    <t>Djibouti</t>
  </si>
  <si>
    <t>Dominica</t>
  </si>
  <si>
    <t>Dominican Republic</t>
  </si>
  <si>
    <t>Ecuador</t>
  </si>
  <si>
    <t>Egypt</t>
  </si>
  <si>
    <t>El Salvador</t>
  </si>
  <si>
    <t>Equatorial Guinea</t>
  </si>
  <si>
    <t>Eritrea</t>
  </si>
  <si>
    <t>Estonia</t>
  </si>
  <si>
    <t>Eswatini</t>
  </si>
  <si>
    <t>Ethiopia</t>
  </si>
  <si>
    <t>Gabon</t>
  </si>
  <si>
    <t>Gambia</t>
  </si>
  <si>
    <t>Georgia</t>
  </si>
  <si>
    <t>Ghana</t>
  </si>
  <si>
    <t>Greece</t>
  </si>
  <si>
    <t>Grenada</t>
  </si>
  <si>
    <t>Guatemala</t>
  </si>
  <si>
    <t>Guinea</t>
  </si>
  <si>
    <t>Guyana</t>
  </si>
  <si>
    <t>Haiti</t>
  </si>
  <si>
    <t>Honduras</t>
  </si>
  <si>
    <t>Hong Kong</t>
  </si>
  <si>
    <t>Iceland</t>
  </si>
  <si>
    <t>Indonesia</t>
  </si>
  <si>
    <t>Iran</t>
  </si>
  <si>
    <t>Iraq</t>
  </si>
  <si>
    <t>Ireland</t>
  </si>
  <si>
    <t>Israel</t>
  </si>
  <si>
    <t>Italy</t>
  </si>
  <si>
    <t>Jamaica</t>
  </si>
  <si>
    <t>Jordan</t>
  </si>
  <si>
    <t>Kazakhstan</t>
  </si>
  <si>
    <t>Kenya</t>
  </si>
  <si>
    <t>Kosovo</t>
  </si>
  <si>
    <t>Kuwait</t>
  </si>
  <si>
    <t>Kyrgyzstan</t>
  </si>
  <si>
    <t>Laos</t>
  </si>
  <si>
    <t>Latvia</t>
  </si>
  <si>
    <t>Lebanon</t>
  </si>
  <si>
    <t>Lesotho</t>
  </si>
  <si>
    <t>Liberia</t>
  </si>
  <si>
    <t>Libya</t>
  </si>
  <si>
    <t>Lithuania</t>
  </si>
  <si>
    <t>Luxembourg</t>
  </si>
  <si>
    <t>Madagascar</t>
  </si>
  <si>
    <t>Malawi</t>
  </si>
  <si>
    <t>Malaysia</t>
  </si>
  <si>
    <t>Maldives</t>
  </si>
  <si>
    <t>Mali</t>
  </si>
  <si>
    <t>Malta</t>
  </si>
  <si>
    <t>Mauritania</t>
  </si>
  <si>
    <t>Mauritius</t>
  </si>
  <si>
    <t>Moldova</t>
  </si>
  <si>
    <t>Mongolia</t>
  </si>
  <si>
    <t>Montenegro</t>
  </si>
  <si>
    <t>Morocco</t>
  </si>
  <si>
    <t>Mozambique</t>
  </si>
  <si>
    <t>Myanmar</t>
  </si>
  <si>
    <t>Namibia</t>
  </si>
  <si>
    <t>Nepal</t>
  </si>
  <si>
    <t>Netherlands</t>
  </si>
  <si>
    <t>New Zealand</t>
  </si>
  <si>
    <t>Nicaragua</t>
  </si>
  <si>
    <t>Niger</t>
  </si>
  <si>
    <t>Nigeria</t>
  </si>
  <si>
    <t>North Macedonia</t>
  </si>
  <si>
    <t>Oman</t>
  </si>
  <si>
    <t>Pakistan</t>
  </si>
  <si>
    <t>Panama</t>
  </si>
  <si>
    <t>Papua New Guinea</t>
  </si>
  <si>
    <t>Paraguay</t>
  </si>
  <si>
    <t>Peru</t>
  </si>
  <si>
    <t>Philippines</t>
  </si>
  <si>
    <t>Qatar</t>
  </si>
  <si>
    <t>Romania</t>
  </si>
  <si>
    <t>Rwanda</t>
  </si>
  <si>
    <t>Saint Lucia</t>
  </si>
  <si>
    <t>Saint Vincent and the Grenadines</t>
  </si>
  <si>
    <t>Sao Tome and Principe</t>
  </si>
  <si>
    <t>Saudi Arabia</t>
  </si>
  <si>
    <t>Senegal</t>
  </si>
  <si>
    <t>Serbia</t>
  </si>
  <si>
    <t>Seychelles</t>
  </si>
  <si>
    <t>Sierra Leone</t>
  </si>
  <si>
    <t>Singapore</t>
  </si>
  <si>
    <t>Slovenia</t>
  </si>
  <si>
    <t>Solomon Islands</t>
  </si>
  <si>
    <t>Somalia</t>
  </si>
  <si>
    <t>South Sudan</t>
  </si>
  <si>
    <t>Sri Lanka</t>
  </si>
  <si>
    <t>Sudan</t>
  </si>
  <si>
    <t>Suriname</t>
  </si>
  <si>
    <t>Syria</t>
  </si>
  <si>
    <t>Taiwan</t>
  </si>
  <si>
    <t>Tajikistan</t>
  </si>
  <si>
    <t>Tanzania</t>
  </si>
  <si>
    <t>Timor-Leste</t>
  </si>
  <si>
    <t>Togo</t>
  </si>
  <si>
    <t>Trinidad and Tobago</t>
  </si>
  <si>
    <t>Tunisia</t>
  </si>
  <si>
    <t>Turkmenistan</t>
  </si>
  <si>
    <t>Uganda</t>
  </si>
  <si>
    <t>Ukraine</t>
  </si>
  <si>
    <t>United Arab Emirates</t>
  </si>
  <si>
    <t>Uruguay</t>
  </si>
  <si>
    <t>Uzbekistan</t>
  </si>
  <si>
    <t>Vanuatu</t>
  </si>
  <si>
    <t>Venezuela</t>
  </si>
  <si>
    <t>Vietnam</t>
  </si>
  <si>
    <t>Yemen</t>
  </si>
  <si>
    <t>Zambia</t>
  </si>
  <si>
    <t>Zimbabwe</t>
  </si>
  <si>
    <t>Geschäftspartnerprüfung</t>
  </si>
  <si>
    <t>Business Partner Check</t>
  </si>
  <si>
    <t>DOW JONES Report requested and attached</t>
  </si>
  <si>
    <t>DOW JONES-Bericht angefordert und beigefügt</t>
  </si>
  <si>
    <t>Versicherungsabteilung</t>
  </si>
  <si>
    <t>Insurance Department</t>
  </si>
  <si>
    <t>Insurance</t>
  </si>
  <si>
    <t>Do you have an export control system in place at least covering trade restrictions (e.g. embargos, dual use goods, goods on commerce control lists, etc.)?</t>
  </si>
  <si>
    <t>Sanction list check conducted, Business Partner is listed</t>
  </si>
  <si>
    <t>Prüfung der Sanktionsliste durchgeführt, Geschäftspartner ist aufgeführt</t>
  </si>
  <si>
    <t>Certificate check for approval:</t>
  </si>
  <si>
    <t>x²</t>
  </si>
  <si>
    <t>x³</t>
  </si>
  <si>
    <t>x³/(x)</t>
  </si>
  <si>
    <t>Coverage amounts not sufficient</t>
  </si>
  <si>
    <t>Deckungssummen nicht ausreichend</t>
  </si>
  <si>
    <t>(Für VC2 optional, Entscheidung durch SQM)</t>
  </si>
  <si>
    <t>(Für VC3 &amp; VC4 nicht erforderlich)</t>
  </si>
  <si>
    <t>(For VC3 &amp; VC4 not necessary)</t>
  </si>
  <si>
    <t>Contact Compliance Departement for further advice</t>
  </si>
  <si>
    <t>Kontaktieren Sie Compliance Department für weitere Beratung</t>
  </si>
  <si>
    <t>Umsatzsteuer-Identifikationsnummer:</t>
  </si>
  <si>
    <t>TCMT0001</t>
  </si>
  <si>
    <t>Rohre / Profile, zusätzlich bearbeitet</t>
  </si>
  <si>
    <t>Tubes / Profiles, Added Value</t>
  </si>
  <si>
    <t>PSCR / Product Safety and Conformity Representative</t>
  </si>
  <si>
    <t xml:space="preserve">Public Liability Insurance </t>
  </si>
  <si>
    <t>Insurance requirements explanation</t>
  </si>
  <si>
    <t>Service Provider Pool EU only</t>
  </si>
  <si>
    <t>Recall Cost Insurance EUR</t>
  </si>
  <si>
    <r>
      <rPr>
        <b/>
        <sz val="10"/>
        <rFont val="Arial"/>
        <family val="2"/>
      </rPr>
      <t xml:space="preserve">Service Provider Pool (for services within EU only) </t>
    </r>
    <r>
      <rPr>
        <sz val="10"/>
        <rFont val="Arial"/>
        <family val="2"/>
      </rPr>
      <t xml:space="preserve">
For Service Providers within the EU BENTELER has an insurance coverage under the umbrella of the BENTELER Service Provider Pool in place at no cost for the SERVICE PROVIDER but provided the SERVICE PROVIDED is self-insured with at least 2 mio. EUR.</t>
    </r>
  </si>
  <si>
    <r>
      <rPr>
        <b/>
        <sz val="10"/>
        <rFont val="Arial"/>
        <family val="2"/>
      </rPr>
      <t>Recall</t>
    </r>
    <r>
      <rPr>
        <sz val="10"/>
        <rFont val="Arial"/>
        <family val="2"/>
      </rPr>
      <t xml:space="preserve">
Whenever a Product Liability Insurance is mandatory, the Supplier shall also effect vehicle recall cost insurance - except in case of IT Services - to reimburse, amongst other matters, the costs of notification, transport, testing, sorting, storage, assembly and disassembly as well as disposal in recall actions by automobile manufacturers or the authorities. The amount of coverage for the aforementioned insurance shall be respectively at least 10 mio. EUR  for any one occurrence and in the annual aggregate.</t>
    </r>
  </si>
  <si>
    <t>Erklärung der Versicherungsanforderungen</t>
  </si>
  <si>
    <t>Betriebshaftpflichtversicherung (insbesondere erforderlich, wenn Lieferanten auf dem Gelände von BENTELER tätig sind) EUR</t>
  </si>
  <si>
    <t>Dienstanbieter-Pool nur EU</t>
  </si>
  <si>
    <t>Produkthaftpflichtversicherung EUR</t>
  </si>
  <si>
    <t>Rückrufkostenversicherung EUR</t>
  </si>
  <si>
    <r>
      <rPr>
        <b/>
        <sz val="10"/>
        <rFont val="Arial"/>
        <family val="2"/>
      </rPr>
      <t xml:space="preserve">Service Provider Pool (nur für Dienstleistungen innerhalb der EU) </t>
    </r>
    <r>
      <rPr>
        <sz val="10"/>
        <rFont val="Arial"/>
        <family val="2"/>
      </rPr>
      <t xml:space="preserve">
Für Dienstleister innerhalb der EU hat BENTELER einen Versicherungsschutz unter dem Dach des BENTELER Dienstleisterpools eingerichtet, der für den Dienstleister kostenlos ist, aber voraussetzt, dass der Dienstleister mit mindestens 2 Mio. EUR selbst versichert ist.</t>
    </r>
  </si>
  <si>
    <r>
      <rPr>
        <b/>
        <sz val="10"/>
        <rFont val="Arial"/>
        <family val="2"/>
      </rPr>
      <t>Product Liability Insurance</t>
    </r>
    <r>
      <rPr>
        <sz val="10"/>
        <rFont val="Arial"/>
        <family val="2"/>
      </rPr>
      <t xml:space="preserve">
Mandatory for supply of serial components, raw material or any other product which remains within the end product: 
The Supplier shall effect, at its own costs, third party liability insurance including extended product liability insurance to cover compensation claims of third parties arising from defective goods or services, with worldwide coverage (including Canada/ USA). This includes property damage, personal injury, and financial loss including but not limited to further processing costs, assembly and disassembly costs, testing and sorting costs. The Supplier shall maintain the aforementioned insurances at all times during the term of the contract and shall ensure that after the ending of the contract any potential damage, which was caused at least in part during the term of the contract, remains insured. The amount of coverage for the aforementioned insurance shall be respectively at least 10 mio. EUR for any one occurrence and in the annual aggregate.
</t>
    </r>
    <r>
      <rPr>
        <b/>
        <sz val="10"/>
        <rFont val="Arial"/>
        <family val="2"/>
      </rPr>
      <t>Particular Case:  (IT Services)</t>
    </r>
    <r>
      <rPr>
        <sz val="10"/>
        <rFont val="Arial"/>
        <family val="2"/>
      </rPr>
      <t xml:space="preserve">
Before starting any performance of work and/or services the IT SERVICE PROVIDER is obliged to ensure liability insurance coverage for IT Product Liability damages at a minimum of 5 mio. EUR . A copy of the valid insurance certificate is to be submitted on request by BENTELER prior to performing its work/service. If this IT SERVICE PROVIDER enters BENTELER premises for his performance of work, the aforesaid to Public Liability Insurance applies additionally.</t>
    </r>
  </si>
  <si>
    <r>
      <rPr>
        <b/>
        <sz val="10"/>
        <rFont val="Arial"/>
        <family val="2"/>
      </rPr>
      <t>Produkthaftpflichtversicherung</t>
    </r>
    <r>
      <rPr>
        <sz val="10"/>
        <rFont val="Arial"/>
        <family val="2"/>
      </rPr>
      <t xml:space="preserve">
Obligatorisch für die Lieferung von Serienbauteilen, Rohmaterial oder anderen Produkten, die im Endprodukt verbleiben: 
Der Lieferant hat auf eigene Kosten eine Haftpflichtversicherung einschließlich einer erweiterten Produkthaftpflichtversicherung zur Deckung von Schadensersatzansprüchen Dritter aus fehlerhaften Waren oder Dienstleistungen mit weltweiter Deckung (einschließlich Kanada/USA) abzuschließen. Dies umfasst Sach-, Personen- und Vermögensschäden einschließlich, aber nicht beschränkt auf Weiterverarbeitungskosten, Montage- und Demontagekosten, Prüf- und Sortierkosten. Der Lieferant hat die vorgenannten Versicherungen während der Vertragslaufzeit jederzeit aufrechtzuerhalten und dafür zu sorgen, dass nach Beendigung des Vertrages etwaige Schäden, die zumindest teilweise während der Vertragslaufzeit verursacht wurden, versichert bleiben. Die Deckungssumme für die vorgenannte Versicherung beträgt jeweils mindestens 10 Mio. EUR. EUR für jedes einzelne Ereignis und für die jährliche Gesamtsumme.
</t>
    </r>
    <r>
      <rPr>
        <b/>
        <sz val="10"/>
        <rFont val="Arial"/>
        <family val="2"/>
      </rPr>
      <t>Besonderer Fall:  (IT-Dienstleistungen)</t>
    </r>
    <r>
      <rPr>
        <sz val="10"/>
        <rFont val="Arial"/>
        <family val="2"/>
      </rPr>
      <t xml:space="preserve">
Der IT-DIENSTLEISTER ist verpflichtet, vor Beginn der Leistungserbringung eine Haftpflichtversicherung für IT-Produkthaftpflichtschäden mit einer Mindestdeckungssumme von 5 Mio. EUR abzuschließen. EUR SICHERZUSTELLEN. Eine Kopie des gültigen Versicherungsnachweises ist auf Verlangen von BENTELER vor Beginn der Leistungserbringung vorzulegen. Betritt der IT-DIENSTLEISTER zur Erbringung seiner Leistungen das Betriebsgelände von BENTELER, gilt die vorgenannte Betriebshaftpflichtversicherung zusätzlich.</t>
    </r>
  </si>
  <si>
    <r>
      <rPr>
        <b/>
        <sz val="10"/>
        <rFont val="Arial"/>
        <family val="2"/>
      </rPr>
      <t>Rückruf</t>
    </r>
    <r>
      <rPr>
        <sz val="10"/>
        <rFont val="Arial"/>
        <family val="2"/>
      </rPr>
      <t xml:space="preserve">
Soweit eine Produkthaftpflichtversicherung vorgeschrieben ist, schließt der Lieferant - außer bei IT-Dienstleistungen - auch eine Fahrzeug-Rückrufkostenversicherung ab, die u.a. die Kosten für Benachrichtigung, Transport, Prüfung, Sortierung, Lagerung, Montage und Demontage sowie Entsorgung bei Rückrufaktionen durch Automobilhersteller oder Behörden erstattet. Die Deckungssumme für die vorgenannte Versicherung beträgt jeweils mindestens 10 Mio. EUR. EUR für jedes einzelne Ereignis und in der jährlichen Gesamtsumme.</t>
    </r>
  </si>
  <si>
    <t>PSCR / Produktsicherheits- und Produktkonformitätsbeauftragter</t>
  </si>
  <si>
    <t>D&amp;B Rating:</t>
  </si>
  <si>
    <t>Haben Sie einen Prozess zur Kontrolle und Einhaltung der relevanten gesetzlichen Vorschriften, freiwilligen Vereinbarungen mit Kunden etc. implementiert?</t>
  </si>
  <si>
    <t>Did you implement a process to control and comply to relevant legal regulations, voluntary agreements with customers etc.?</t>
  </si>
  <si>
    <t>Please explain your Cyber Security Roadmap:</t>
  </si>
  <si>
    <t>Bitte erläutern Sie Ihren Fahrplan für die Cybersicherheit:</t>
  </si>
  <si>
    <t>Sie haben keine Zertifikate/ Nachweise zu Cybersecurity angegeben.</t>
  </si>
  <si>
    <t>You have not specified any certificates/ evidence on cybersecurity.</t>
  </si>
  <si>
    <t>Risikobewertung</t>
  </si>
  <si>
    <t>Anforderungen erfüllt</t>
  </si>
  <si>
    <t>Anforderungen bedingt erfüllt</t>
  </si>
  <si>
    <t>Anforderungen nicht erfüllt</t>
  </si>
  <si>
    <t>Requirements fulfilled</t>
  </si>
  <si>
    <t>Requirements conditionally fulfilled</t>
  </si>
  <si>
    <t>Requirements not fulfilled</t>
  </si>
  <si>
    <t>Public Liability (especially required if suppliers are active on BENTELER premises) Insurance EUR</t>
  </si>
  <si>
    <t>Did you implement a process to control and comply to relevant legal regulations, voluntary agreements with customer, public authorities, industry associations or own company-specific requirements? (e.g. regular audits, policies against harmful pollution of soil, water, and air, guidelines against harmful noise emission)</t>
  </si>
  <si>
    <t>Haben Sie einen Prozess zur Kontrolle und Einhaltung der relevanten gesetzlichen Vorschriften, freiwilliger Vereinbarungen mit Kunden, Behörden, Verbänden oder eigenen unternehmensspezifischen Anforderungen implementiert? (z.B. regelmäßige Audits, Maßnahmen gegen die schädliche Verunreinigung von Boden, Wasser, Luft und gegen schädliche Lärmemissionen)</t>
  </si>
  <si>
    <t>Product Liability Insurance EUR</t>
  </si>
  <si>
    <t>References: ILO Conventions 29, 105 – Prohibition of forced labor and disciplinary punitive measures and LkSG</t>
  </si>
  <si>
    <t>Referenzen: ILO Konventionen 29, 105 - Verbot von Zwangsarbeit und disziplinarischen Sanktionsmaßnahmen und LkSG</t>
  </si>
  <si>
    <t>Is it prohibited in your company to apply any type of forced labor including, but not limited to modern slavery?</t>
  </si>
  <si>
    <t>Ist es in Ihrem Unternehmen verboten, jegliche Art von Zwangsarbeit inkl. moderne Sklaverei zu leisten?</t>
  </si>
  <si>
    <t xml:space="preserve">Does your company forbid unlawful evictions and unlawful deprivations of land, forest or bodies of water, as well as forbid the usage of land, forest and bodies of water which are substantial to the livelihood of people? </t>
  </si>
  <si>
    <t>References: ILO Conventions 100, 111, 143, 158, 159 – Non discrimination rule and LkSG</t>
  </si>
  <si>
    <t>Referenzen: ILO Konventionen 100, 111, 143, 158, 159 - Antidiskriminierungsregel und LkSG</t>
  </si>
  <si>
    <t>Können Sie mit hinreichender Sicherheit ausschließen, dass Mitglieder von Minderheitengruppen in Ihrem Unternehmen in irgendeiner Weise diskriminiert werden, aufgrund sozialer oder demografischer Merkmale (z.B. ethnische Abstammung, sexuelle Orientierung, Religion, politische Meinung usw.)?</t>
  </si>
  <si>
    <t>Can you exclude with reasonable certainty, that members of minority groups are discriminated based on social or demographic characteristics (e.g. ethnicity, sexual orientation, religion, political view etc.) in any kind of way in your company?</t>
  </si>
  <si>
    <t xml:space="preserve">Hat Ihr Unternehmen Massnahmen, die die menschliche und repesktvolle Behandlung von Mitarbeitern sichern? 
Die brutale oder unmenschliche Behandlung von Arbeitskräften ist nicht zulässig. Diese Verbote gelten auch bei Einsatz von internen und externen Sicherheitskräften. </t>
  </si>
  <si>
    <t xml:space="preserve">Does your company have measures to ensure workers are treated humanely and respectfully? 
Brutal or inhumane treatment of workers is prohibited. These prohibitions also apply when internal and external security forces are deployed.  </t>
  </si>
  <si>
    <t xml:space="preserve">Referenz: LkSG </t>
  </si>
  <si>
    <t xml:space="preserve">Reference: LkSG </t>
  </si>
  <si>
    <t>Referenz: ILO Konventionen 132 - Bezahlter Urlaub</t>
  </si>
  <si>
    <t>Ist in Ihrem Unternehmen verboten widerrechtliche Zwangsräumungen sowie widerrechtlicher Entzug von Land, Wälder oder Gewässer und die Nutzung von Land, Wälder und Gewässern, deren Nutzung die Lebensgrundlage eines Menschen sichert?</t>
  </si>
  <si>
    <t xml:space="preserve">Risk Assessment </t>
  </si>
  <si>
    <t>How do you want to develope your management system to fulfill our cyber security requirements within the next maximum 18 months.</t>
  </si>
  <si>
    <t>Anwendung von Qualitätsmanagement Methoden</t>
  </si>
  <si>
    <t>Wie wollen Sie Ihr Management System entwickeln, um unsere Cybersicherheitsanforderungen innerhalb der nächsten maximal 18 Monate zu erfüllen?</t>
  </si>
  <si>
    <t xml:space="preserve">BENTELERs Lieferanten müssen die für eine Geschäftsbeziehung mit BENTELER gültigen Umweltvorschriften und gesetzlichen Anforderungen einhalten (z.B. Minamata Übereinkommen, Basel Übereinkommen, Stockholm Übereinkommen, POPs Übereinkommen), die in dem Lieferantenkodex Abschnitt UMWELT detailiert sind. Können Sie mit hinreichender Sicherheit bestätigen, dass Ihr Unternhemen sich an die im Abschnitt UMWELT detailierten Grundsätze hält? </t>
  </si>
  <si>
    <t xml:space="preserve">BENTELER's Suppliers shall comply with environmental requirements set forth in laws and regulations mandatory for a business relationship with BENTELER (e.g.Minamata Convention, Basel Convention, Stockholm Convention, POPs Convention) as is detailed in the Supplier Code of Conduct, Section ENVIRONMENT. Can you confirm with reasonable certainty, that your company abides by the principles established in Section ENVIRONMENT of the BENTELER Supplier Code of Conduct?  </t>
  </si>
  <si>
    <t>Hinweis: Detailierte Erläuterungen zu den Versicherung, die BENTELER Zulieferer führen und nachweisen müssen, finden sie im Tabellenblatt Explanation.</t>
  </si>
  <si>
    <t>Note: Detailed explanations of the insurance that BENTELER suppliers must maintain and provide evidence of can be found in the Explanation spreadsheet.</t>
  </si>
  <si>
    <t>VC5</t>
  </si>
  <si>
    <t>Funktion:</t>
  </si>
  <si>
    <t>Function:</t>
  </si>
  <si>
    <t>Zertifikate</t>
  </si>
  <si>
    <t>Certificates</t>
  </si>
  <si>
    <t>1.5</t>
  </si>
  <si>
    <t>**Possible certificates: TISAX (preferred), ISO/IEC 27001, SOC 2, ISEA 3402, Self-Disclosure VDA ISA</t>
  </si>
  <si>
    <t>**Mögliche Zertifikate: TISAX (bevorzugt), ISO/IEC 27001, SOC 2, ISEA 3402, Selbstauskunft VDA ISA</t>
  </si>
  <si>
    <t>Antwort</t>
  </si>
  <si>
    <t>Answer</t>
  </si>
  <si>
    <t>Information on social and environmental responsibility and legal compliance</t>
  </si>
  <si>
    <t>Informationen zur sozialen und ökologischen Verantwortung und Gesetzeskonformität</t>
  </si>
  <si>
    <t>Soziale und ökologische Verantwortung</t>
  </si>
  <si>
    <t>Social and Enviromental Responsibility</t>
  </si>
  <si>
    <t xml:space="preserve">Materialklasse:   </t>
  </si>
  <si>
    <t xml:space="preserve">Material Class:   </t>
  </si>
  <si>
    <t>Lieferantenklasse &amp; Materialklasse</t>
  </si>
  <si>
    <t>Vendor Class &amp; Material Class</t>
  </si>
  <si>
    <t>Regional Procurement Director / Commodity Director (EU)</t>
  </si>
  <si>
    <r>
      <t>1. How to use section</t>
    </r>
    <r>
      <rPr>
        <b/>
        <sz val="12"/>
        <color rgb="FF0000FF"/>
        <rFont val="Arial"/>
        <family val="2"/>
      </rPr>
      <t xml:space="preserve"> </t>
    </r>
    <r>
      <rPr>
        <b/>
        <sz val="12"/>
        <color theme="1"/>
        <rFont val="Arial"/>
        <family val="2"/>
      </rPr>
      <t>Company Profile</t>
    </r>
  </si>
  <si>
    <r>
      <t xml:space="preserve">2. How to use section </t>
    </r>
    <r>
      <rPr>
        <b/>
        <sz val="12"/>
        <color theme="1"/>
        <rFont val="Arial"/>
        <family val="2"/>
      </rPr>
      <t>Financials</t>
    </r>
  </si>
  <si>
    <r>
      <t>3. How to use section</t>
    </r>
    <r>
      <rPr>
        <b/>
        <sz val="12"/>
        <rFont val="Arial"/>
        <family val="2"/>
      </rPr>
      <t xml:space="preserve"> Social Responsibility</t>
    </r>
  </si>
  <si>
    <t>Regarding question number 1 and 2, if your answer is 'No', please provide a comment.</t>
  </si>
  <si>
    <t>Bezüglich der Fragen 1 bis 2: Wenn Ihre Antwort 'Nein' ist, fügen Sie bitte einen Kommentar zur Erklärung hinzu.</t>
  </si>
  <si>
    <r>
      <t xml:space="preserve">4. How to use section </t>
    </r>
    <r>
      <rPr>
        <b/>
        <sz val="12"/>
        <rFont val="Arial"/>
        <family val="2"/>
      </rPr>
      <t>Certifikates &amp; Cyber Security</t>
    </r>
  </si>
  <si>
    <t xml:space="preserve">Please select in Section Certificates whether your company holds the listed certificates and add the required information in the grey cells. Please add a copy of the certificates. If your company does not hold the listed certificates, please complete the relevant questions in Section Cyber Security. </t>
  </si>
  <si>
    <t xml:space="preserve">Bitte wählen Sie in Abschnitt Zertifikate, ob Ihr Unternehmen die aufgelisteten Zertifikate / Nachweise besitzt und füllen bitte die entsprechenen grauen Felder aus. Bitte fügen Sie eine Kopie der Zertifikate / Nachweise bei. Wenn Ihr Unternehmen keine der aufgelisteten Zertifikate nachweien kann, füllen Sie bitte die entsprechenden Fragen in Abschnitt Cybersicherheit aus. </t>
  </si>
  <si>
    <r>
      <t xml:space="preserve">2. Wie man Abschnitt </t>
    </r>
    <r>
      <rPr>
        <b/>
        <sz val="12"/>
        <color theme="1"/>
        <rFont val="Arial"/>
        <family val="2"/>
      </rPr>
      <t xml:space="preserve">Finanzen </t>
    </r>
    <r>
      <rPr>
        <b/>
        <sz val="10"/>
        <color theme="1"/>
        <rFont val="Arial"/>
        <family val="2"/>
      </rPr>
      <t>benutzt</t>
    </r>
  </si>
  <si>
    <r>
      <t>3. Wie man Abschnitt</t>
    </r>
    <r>
      <rPr>
        <b/>
        <sz val="12"/>
        <rFont val="Arial"/>
        <family val="2"/>
      </rPr>
      <t xml:space="preserve"> Soziale Verantwortung </t>
    </r>
    <r>
      <rPr>
        <b/>
        <sz val="10"/>
        <rFont val="Arial"/>
        <family val="2"/>
      </rPr>
      <t>benutzt</t>
    </r>
  </si>
  <si>
    <t>If you have answered 'No' to Certificate Cyber Security, please complete the relevant questions 1.1 - 1.5. by selecting an answer from the drop down menu. Please provide a comment.</t>
  </si>
  <si>
    <t xml:space="preserve">Wenn Sie das Zertifikat Cybersicherheit mit 'Nein' beantwortet haben, füllen Sie bitte die entsprechenden Fragen 1.1 - 1.5 aus, indem Sie eine Antwort aus dem Dropdown-Menü auswählen. Geben Sie bitte einen Kommentar an.   </t>
  </si>
  <si>
    <r>
      <t>4. Wie man Abschnitt</t>
    </r>
    <r>
      <rPr>
        <b/>
        <sz val="12"/>
        <rFont val="Arial"/>
        <family val="2"/>
      </rPr>
      <t xml:space="preserve"> Zertifikate &amp; Cyber Security </t>
    </r>
    <r>
      <rPr>
        <b/>
        <sz val="10"/>
        <rFont val="Arial"/>
        <family val="2"/>
      </rPr>
      <t>benutzt</t>
    </r>
  </si>
  <si>
    <t>Company Profile:</t>
  </si>
  <si>
    <t>Firmenprofil:</t>
  </si>
  <si>
    <t>Financials:</t>
  </si>
  <si>
    <t>Finanzen:</t>
  </si>
  <si>
    <t xml:space="preserve">Official document stating the bank details. 
Official document stating insurance policy and coverage. </t>
  </si>
  <si>
    <t>Certificates:</t>
  </si>
  <si>
    <t>All available certificates</t>
  </si>
  <si>
    <t>Alle verfügbaren Zertifikate</t>
  </si>
  <si>
    <t>Zertifikate:</t>
  </si>
  <si>
    <r>
      <t>1. Wie man Register</t>
    </r>
    <r>
      <rPr>
        <b/>
        <sz val="12"/>
        <color rgb="FF0000FF"/>
        <rFont val="Arial"/>
        <family val="2"/>
      </rPr>
      <t xml:space="preserve"> </t>
    </r>
    <r>
      <rPr>
        <b/>
        <sz val="12"/>
        <color theme="1"/>
        <rFont val="Arial"/>
        <family val="2"/>
      </rPr>
      <t>Firmenprofil</t>
    </r>
    <r>
      <rPr>
        <sz val="10"/>
        <color theme="1"/>
        <rFont val="Arial"/>
        <family val="2"/>
      </rPr>
      <t xml:space="preserve"> </t>
    </r>
    <r>
      <rPr>
        <b/>
        <sz val="10"/>
        <color theme="1"/>
        <rFont val="Arial"/>
        <family val="2"/>
      </rPr>
      <t>benutzt</t>
    </r>
  </si>
  <si>
    <r>
      <t xml:space="preserve">5. Register </t>
    </r>
    <r>
      <rPr>
        <b/>
        <sz val="12"/>
        <rFont val="Arial"/>
        <family val="2"/>
      </rPr>
      <t>F</t>
    </r>
    <r>
      <rPr>
        <b/>
        <sz val="10"/>
        <rFont val="Arial"/>
        <family val="2"/>
      </rPr>
      <t xml:space="preserve"> </t>
    </r>
    <r>
      <rPr>
        <b/>
        <sz val="12"/>
        <rFont val="Arial"/>
        <family val="2"/>
      </rPr>
      <t>Supplier Approval Form</t>
    </r>
  </si>
  <si>
    <t>Please select in Section Financials if your company has a risk insurance. Please fill in all grey cells.
Please find details insurance explanation below.</t>
  </si>
  <si>
    <t>Bitte wählen Sie im Abschnitt Finanzen, ob ihr Unternehmen eine Risikoversicherung hat. Bitte füllen Sie alle ausgegrauten Felder.
Eine ausführliche Erläuterung zur Versicherung finden Sie weiter unten.</t>
  </si>
  <si>
    <t>c)</t>
  </si>
  <si>
    <t>Please fill in all grey cells with your bank account datas.</t>
  </si>
  <si>
    <t>Please select your currency and one of the specified incoterms.</t>
  </si>
  <si>
    <t>Bitte geben Sie in alle grauen Felder Ihre Bankverbindungsdaten ein.</t>
  </si>
  <si>
    <t>Bitte wählen Sie Ihre Währung und eine der angegebenen Incoterms.</t>
  </si>
  <si>
    <t xml:space="preserve">Offizielles Dokument mit Bankverbindung. 
Offizielles Dokument, aus dem die Versicherungspolice und der Versicherungsschutz hervorgehen. </t>
  </si>
  <si>
    <t>Cybersicherheitskategorie:</t>
  </si>
  <si>
    <t>Cyber Security Category:</t>
  </si>
  <si>
    <t>CS categories</t>
  </si>
  <si>
    <t>1 - Very High Protection</t>
  </si>
  <si>
    <t>2 - High Protection</t>
  </si>
  <si>
    <r>
      <t>x</t>
    </r>
    <r>
      <rPr>
        <vertAlign val="superscript"/>
        <sz val="8"/>
        <rFont val="Arial"/>
        <family val="2"/>
      </rPr>
      <t>1</t>
    </r>
  </si>
  <si>
    <t>Can you confirm that your company has not been convicted to pay fine or penalty during the last 24 months because of violations of the ban of child labor, the ban of forced labor, hindering freedom of association, corruption, environmental law provisions or Antitrust law provisions and that your company is not subject to any preliminary proceedings at the moment?</t>
  </si>
  <si>
    <t>Können Sie bestätigen, dass Ihr Unternehmen in den letzten 24 Monaten nicht zur Zahlung einer Geldstrafe oder eines Bußgeldes wegen Verstößen gegen das Verbot von Kinderarbeit, das Verbot von Zwangsarbeit, die Behinderung der Vereinigungsfreiheit, Korruption, umweltrechtliche Bestimmungen oder kartellrechtliche Bestimmungen verurteilt wurde und dass gegen Ihr Unternehmen derzeit kein Ermittlungsverfahren anhängig ist?</t>
  </si>
  <si>
    <t>Social Respon.:</t>
  </si>
  <si>
    <t>Approval of Divisional Compliance Officer is needed for release</t>
  </si>
  <si>
    <t>Special Approval is needed release</t>
  </si>
  <si>
    <t>Für die Freigabe ist eine Sondergenehmigung erforderlich</t>
  </si>
  <si>
    <t>Für die Freigabe ist die Zustimmung des Divisional Compliance Officer erforderlich</t>
  </si>
  <si>
    <t>All companies of the Benteler Group (hereafter called “BENTELER”) expect from their suppliers to comply with all applicable statutory obligations and the social and environmental standards as set out in the BENTELER Supplier Code of conduct. You can download it yourself from the homepage of the BENTELER Group (www.benteler.com), under the tap "Global Procurement". 
This is one of several conditions which are checked by BENTELER during the supplier on-boarding process.</t>
  </si>
  <si>
    <t>Alle Unternehmen der Benteler-Gruppe (im Folgenden "BENTELER" genannt) erwarten von ihren Lieferanten die Einhaltung aller geltenden gesetzlichen Verpflichtungen sowie der Sozial- und Umweltstandards, die im BENTELER-Lieferantenkodex festgelegt sind. Diesen können Sie selbst auf der Homepage der BENTELER-Gruppe (www.benteler.com) herunterladen, unter "Global Procurement". 
Dies ist eine von mehreren Bedingungen, die von BENTELER im Rahmen des Lieferanten-Onboarding-Prozesses überprüft werden.</t>
  </si>
  <si>
    <t>Not required</t>
  </si>
  <si>
    <t>Nicht erforderlich</t>
  </si>
  <si>
    <t>Only BAT: Purchasing Manager / Local Commdity Manager / Lead Commodity Manager (EU)</t>
  </si>
  <si>
    <t>OK für die Freigabe</t>
  </si>
  <si>
    <t>OK for approval</t>
  </si>
  <si>
    <t>Weitere Zertifikate</t>
  </si>
  <si>
    <t>Further certificates</t>
  </si>
  <si>
    <t>***Mögliche Zertifikate: ISO 9001, ISO 14001, ISO 45001 etc.</t>
  </si>
  <si>
    <t>***Possible certificates: ISO 9001, ISO 14001, ISO 45001 etc.</t>
  </si>
  <si>
    <t>Regional Compliance Officer</t>
  </si>
  <si>
    <t xml:space="preserve">Regarding commercial register number: If it is not applicable by law, then please fill in "Not Applicable". </t>
  </si>
  <si>
    <t xml:space="preserve">Bezüglich der Handelsregisternummer: Wenn sie gesetzlich nicht erforderlich ist, tragen Sie bitte "Nicht anwendbar" ein. </t>
  </si>
  <si>
    <t>Current extract from the commercial register (if applicable by Law)</t>
  </si>
  <si>
    <t>Aktueller Handelsregisterauszug (falls gesetzlich vorgeschrieben)</t>
  </si>
  <si>
    <t>x = ja; x¹ = gem. BS.PU.002.An.01 / BST_PR_AD026</t>
  </si>
  <si>
    <t>x = yes; x¹ = acc. to BS.PU.002.An.01 / BST_PR_AD026</t>
  </si>
  <si>
    <t>Alle erforderlichen Versicherungsnachweise gem. x¹ beigefügt:</t>
  </si>
  <si>
    <t>All required insurance certificates according to x¹ attached:</t>
  </si>
  <si>
    <t>According to the vendor class (VC5) and the material class definition, all relevant fields must be filled in. You can find the requirements for VC5 in P.PU.038.An.01 and for the Material Class in BS.PU.002.An.01 / BST_PR_AD026.
If you have no comments, enter "./." in field Comments.</t>
  </si>
  <si>
    <t>Gemäß der Vendorklasse (VC5) und Materialklasse, müssen alle relevanten Felder ausgefüllt werden. Die Anforderungen der Vendorklassen finden SIe in P.PI.038.An.01 und der Materialklassen in BS.PU.002.An.01 / BST_PR_AD026. 
Wenn Sie keine Kommentare eintragen, schreiben Sie "./." in das Feld Kommentare.</t>
  </si>
  <si>
    <t>BAT: Regional Procurement Director /
Commodity Director (EU)
BST: Commodity Manager</t>
  </si>
  <si>
    <t>"Keine Freigabe von Lieferanten ohne schriftliche Genehmigung vom Einkaufsmanagement!"</t>
  </si>
  <si>
    <t>"No supplier approval except by written decision from procurement management!"</t>
  </si>
  <si>
    <t>Deckungssummen nicht ausreichend, Lieferant tritt dem BENTELER - Insurance Supplier Pool/ -Service Provider Pool bei</t>
  </si>
  <si>
    <t>Coverage amounts not sufficient, supplier join the BENTELER - Insurance Supplier Pool/ -Service Provider Pool</t>
  </si>
  <si>
    <t>BENTELER Allgemeine Geschäftsbedingungen</t>
  </si>
  <si>
    <t>BENTELER General Terms and Conditions</t>
  </si>
  <si>
    <r>
      <rPr>
        <b/>
        <sz val="10"/>
        <rFont val="Arial"/>
        <family val="2"/>
      </rPr>
      <t>Public Liability Insurance</t>
    </r>
    <r>
      <rPr>
        <sz val="10"/>
        <rFont val="Arial"/>
        <family val="2"/>
      </rPr>
      <t xml:space="preserve">
Mandatory for Suppliers/Service Providers with an annual turnover &gt; 50.000 EUR with BENTELER that will perform their work on or enter BENTELER premises in connection with their supply/service (SERVICE PROVIDER).
Before starting any performance of work and/or services and/or entry of premises the SERVICE PROVIDER is obliged to ensure liability insurance coverage at its own expense for bodily injury as well as property damages at a minimum of 5 mio. EUR . 
A copy of the valid insurance certificate is to be submitted on request by BENTELER prior to performing its work/service. For regularly booked Service Providers or long term contracts the validity of the insurance certificate has to be checked once a year.
</t>
    </r>
    <r>
      <rPr>
        <b/>
        <sz val="10"/>
        <rFont val="Arial"/>
        <family val="2"/>
      </rPr>
      <t>Particular Case:  (Machinery)</t>
    </r>
    <r>
      <rPr>
        <sz val="10"/>
        <rFont val="Arial"/>
        <family val="2"/>
      </rPr>
      <t xml:space="preserve">
Before starting any performance of work/assembly the Seller has to provide evidence to BENTELER that for the assembly and start-up of the delivery item a liability insurance coverage at its own expense at a minimum of 10 mio. EUR, but in any case at an amount not less than the purchasing price for the delivery item, is in force. 
Before starting any performance of work/assembly the machinery supplier is obliged to ensure sufficient erection and construction all risks insurance coverage at its own expense with a limit up to an amount not less than the purchasing price for the delivery item. A copy of the valid insurance certificate is to be submitted on request by the customer. The assembly and installation of the delivery item has to be according to the applicable local regulations for the prevention of accidents.</t>
    </r>
  </si>
  <si>
    <r>
      <rPr>
        <b/>
        <sz val="10"/>
        <rFont val="Arial"/>
        <family val="2"/>
      </rPr>
      <t>Betriebshaftpflichtversicherung</t>
    </r>
    <r>
      <rPr>
        <sz val="10"/>
        <rFont val="Arial"/>
        <family val="2"/>
      </rPr>
      <t xml:space="preserve">
Obligatorisch für Lieferanten/Dienstleister, die einen Mindestjahresumsatz von 50.000 EUR mit BENTELER haben und die im Zusammenhang mit ihrer Lieferung/Leistung Arbeiten auf dem Gelände von BENTELER ausführen oder dieses betreten (DIENSTLEISTER).
Der DIENSTLEISTER ist verpflichtet, vor Beginn der Leistungserbringung bzw. dem Betreten des Geländes auf eigene Kosten eine Haftpflichtversicherung für Personen- und Sachschäden mit einer Mindestdeckungssumme von 5 Mio. EUR abzuschließen.
Eine Kopie des gültigen Versicherungsnachweises ist auf Verlangen von BENTELER vor der Leistungserbringung vorzulegen. Bei regelmäßig gebuchten Dienstleistern oder langfristigen Verträgen ist die Gültigkeit des Versicherungsnachweises einmal jährlich zu überprüfen.
</t>
    </r>
    <r>
      <rPr>
        <b/>
        <sz val="10"/>
        <rFont val="Arial"/>
        <family val="2"/>
      </rPr>
      <t>Besonderer Fall:  (Maschinen)</t>
    </r>
    <r>
      <rPr>
        <sz val="10"/>
        <rFont val="Arial"/>
        <family val="2"/>
      </rPr>
      <t xml:space="preserve">
Der Auftragnehmer hat BENTELER vor Beginn der Arbeiten/Montagen nachzuweisen, dass für die Montage und Inbetriebnahme des Liefergegenstandes eine Haftpflichtversicherung auf eigene Kosten mit einer Mindestdeckungssumme von 10 Mio. EUR besteht. EUR, mindestens jedoch in Höhe des Kaufpreises für den Liefergegenstand, besteht. 
Der Maschinenlieferant ist verpflichtet, vor Beginn der Arbeiten/Montage auf eigene Kosten eine ausreichende Montageversicherung mit einer Deckungssumme bis zur Höhe des Kaufpreises für den Liefergegenstand abzuschließen. Eine Kopie des gültigen Versicherungsnachweises ist auf Verlangen des Bestellers vorzulegen. Die Aufstellung und Montage des Liefergegenstandes hat nach den geltenden örtlichen Unfallverhütungsvorschriften zu erfolgen.</t>
    </r>
  </si>
  <si>
    <t>Version Nr.</t>
  </si>
  <si>
    <t>Ort der Änderung</t>
  </si>
  <si>
    <t>Durchgeführte Änderung</t>
  </si>
  <si>
    <t>Funktion / Stichwort</t>
  </si>
  <si>
    <t>Ausgelöst durch</t>
  </si>
  <si>
    <t>Geändert von</t>
  </si>
  <si>
    <t>1.0</t>
  </si>
  <si>
    <t>B-Search</t>
  </si>
  <si>
    <t>Upload</t>
  </si>
  <si>
    <t>Th. Schneider</t>
  </si>
  <si>
    <t>A. Hermann</t>
  </si>
  <si>
    <t>Supplier Approval</t>
  </si>
  <si>
    <t>Formatierungen angepasst</t>
  </si>
  <si>
    <t>Revision list</t>
  </si>
  <si>
    <t>1.1.1</t>
  </si>
  <si>
    <t>1.1.2</t>
  </si>
  <si>
    <t>1.1.3</t>
  </si>
  <si>
    <t>Text für Public Liability angepasst</t>
  </si>
  <si>
    <t xml:space="preserve">größer 50.000 Euro </t>
  </si>
  <si>
    <t>I. Rode</t>
  </si>
  <si>
    <t>Sperre zu Feld Vendor No. Aufgehoben</t>
  </si>
  <si>
    <t>C43</t>
  </si>
  <si>
    <t>F. Wiesner-Walden</t>
  </si>
  <si>
    <t>Bestätigen Sie, dass Ihr Unternehmen mindestens die gleichen Grundsätze einhält, die im Verhaltenskodex für Lieferanten von BENTELER festgelegt sind, einschließlich der entsprechenden Verpflichtungen gegenüber der eigenen Lieferkette Ihres Unternehmens?</t>
  </si>
  <si>
    <t>Do you confirm that your company adheres to at least the same principles established in BENTELER's supplier code of conduct, including the corresponding obligations towards your company's own supply chain?</t>
  </si>
  <si>
    <t>Change history entfernt Revision list hinzu</t>
  </si>
  <si>
    <t>Textkorrektur Social and Enviromental Requirement 1.1</t>
  </si>
  <si>
    <t>…dass unser Unternehmen… in ...ihr Unternehmen...</t>
  </si>
  <si>
    <t>Other certifications</t>
  </si>
  <si>
    <t>Andere Zertifizierung</t>
  </si>
  <si>
    <t>Cyber Security Dropdown angepasst</t>
  </si>
  <si>
    <t>ISAE 3402 entfernt und Others in Other certifications geändert analog T.PU.005</t>
  </si>
  <si>
    <t>1.1.4</t>
  </si>
  <si>
    <t>Make sure that all evidence documents and signatures are available. 
!!! Approval is valid for specified Material Class/es only !!!</t>
  </si>
  <si>
    <t>Kopftext Feld A5 angepasst</t>
  </si>
  <si>
    <t>Language table 255; Abschnitt C/D entfernt und Technologieklassen in Materialklassen getauscht</t>
  </si>
  <si>
    <t>C.Wied</t>
  </si>
  <si>
    <t>Stellen Sie sicher, dass alle Nachweise und Unterschriften vorliegen. 
!!! Die Zulassung ist nur für die angegebene/n Materialklasse/n gültig !!!</t>
  </si>
  <si>
    <r>
      <t>x</t>
    </r>
    <r>
      <rPr>
        <b/>
        <vertAlign val="superscript"/>
        <sz val="10"/>
        <rFont val="Arial"/>
        <family val="2"/>
      </rPr>
      <t>1</t>
    </r>
  </si>
  <si>
    <t>Der Lieferant wird einen geschätzen Jahresumsatz von &lt; 50.000 EUR im laufenden und kommenden Kalenderjahr haben</t>
  </si>
  <si>
    <t>The supplier will have an estimated annual turnover &lt; 50,000 EUR in current and upcoming calendar year</t>
  </si>
  <si>
    <t>1.1.5</t>
  </si>
  <si>
    <t>Versicherungsdropdown angepasst</t>
  </si>
  <si>
    <t>Selection(3)</t>
  </si>
  <si>
    <t>(For VC2 optional, decision by SQM)</t>
  </si>
  <si>
    <t>(MK gem.: BS.PU.002.An.01 / BST_PR_AD026)</t>
  </si>
  <si>
    <t>(MC acc. to: BS.PU.002.An.01 / BST_PR_AD026)</t>
  </si>
  <si>
    <t>Deckungssummen min. gem. BS.PU.002.An.01 / BST_PR_AD026</t>
  </si>
  <si>
    <t>Coverage amounts min. acc. BS.PU.002.An.01 / BST_PR_AD026</t>
  </si>
  <si>
    <t>Deckungssummen min. gem. BS.PU.002.An.01 / BST_PR_AD026 exklusive US/CAN</t>
  </si>
  <si>
    <t>Coverage amounts min. acc. BS.PU.002.An.01 / BST_PR_AD026 exklusive US/CAN</t>
  </si>
  <si>
    <t>Language table</t>
  </si>
  <si>
    <t>BST_PR_AD026 ergänzt</t>
  </si>
  <si>
    <t>Überall im Zusammenhang mit BS.PU.002.An.01</t>
  </si>
  <si>
    <t>Keine Versicherung erforderlich gem. BS.PU.002.An.01 / BST_PR_AD026</t>
  </si>
  <si>
    <t>No insurance required acc. to BS.PU.002.An.01 / BST_PR_AD026</t>
  </si>
  <si>
    <t>Zeilen getauscht; Jahresumsatz &lt;50.000EUR und Nicht erforderlich hinzu</t>
  </si>
  <si>
    <t>Datum und Grund für Conditional Approval eingefügt</t>
  </si>
  <si>
    <t>Analog SAP</t>
  </si>
  <si>
    <t>A. Kronus</t>
  </si>
  <si>
    <t>1.1.6</t>
  </si>
  <si>
    <t>Begründung für bedingte Freigabe:</t>
  </si>
  <si>
    <t>Justification for conditional release:</t>
  </si>
  <si>
    <t>DBP - Directed buy Teile</t>
  </si>
  <si>
    <t>DBP - Directed buy parts</t>
  </si>
  <si>
    <t>LT - Zeitlich begrenzt</t>
  </si>
  <si>
    <t>LT - Limited time</t>
  </si>
  <si>
    <t>PR - Projekt eingeschränkt</t>
  </si>
  <si>
    <t>PR - Project restricted</t>
  </si>
  <si>
    <t>SA - Sondergenehmigung</t>
  </si>
  <si>
    <t>SA - Special approval</t>
  </si>
  <si>
    <t>PT - nur für Prototypen</t>
  </si>
  <si>
    <t>PT - only for Prototypes</t>
  </si>
  <si>
    <t>Conditions</t>
  </si>
  <si>
    <t>Regional Information Security Expert (RISE) / Regional Information Security Representative (RISR) / Cyber Security Board (CSB)</t>
  </si>
  <si>
    <t>RISE hintzgefügt</t>
  </si>
  <si>
    <t>Information Security</t>
  </si>
  <si>
    <t>1.1.7</t>
  </si>
  <si>
    <t>Cyber security categorie 3 entfallen</t>
  </si>
  <si>
    <t>Normal Risk</t>
  </si>
  <si>
    <t>3 - Low Risk</t>
  </si>
  <si>
    <t>Informationen in "Company Profile" Sektion "Soziale und ökologische Verantwortung" fehlen!</t>
  </si>
  <si>
    <t>Information in "Company Profile" section "Social and Enviromental Responsibility" missing!</t>
  </si>
  <si>
    <t>A Company Profile</t>
  </si>
  <si>
    <t>Format korrekturen (Standard =&gt; Text)</t>
  </si>
  <si>
    <t>Telefonnr., VAT etc.</t>
  </si>
  <si>
    <t>L.Ricken</t>
  </si>
  <si>
    <t>Kommentarfeld eingefügt</t>
  </si>
  <si>
    <t>Zeile 35 + 36</t>
  </si>
  <si>
    <t>Der Lieferant soll in folgendem SAP System genutzt werden:</t>
  </si>
  <si>
    <t>The supplier is to be used in the following SAP system:</t>
  </si>
  <si>
    <t>SAP systems</t>
  </si>
  <si>
    <t>PAM</t>
  </si>
  <si>
    <t>PAP</t>
  </si>
  <si>
    <t>PEU</t>
  </si>
  <si>
    <t>SP9</t>
  </si>
  <si>
    <t>HZP</t>
  </si>
  <si>
    <t>JPN</t>
  </si>
  <si>
    <t>Registerkartenbenennung angepasst</t>
  </si>
  <si>
    <t>F Supplier Approval Form</t>
  </si>
  <si>
    <t>SAP System Auswahl eingebracht</t>
  </si>
  <si>
    <t>Zeile 5 / Dropdown</t>
  </si>
  <si>
    <t>In order to save time and avoid confusion, the BENTELER buyer 
shall select the language of the supplier (English and German are currently available) and shall select the Cyber Security Category. This must be done in the following tab 'F Supplier Approval Form' in cell A1 and G27.</t>
  </si>
  <si>
    <t xml:space="preserve">After setting the language, please fill-in the correct material class according to the supplier's goods or service. This must be done in the tab 'F Supplier Approval Form'.
(You can find the definition of material classes in BS.PU.002.An.01 / BST_PR_AD026 - For the latest version, please look in B-Search)
**Note: If you change the language afterwards, all dropdown fields must be selected again.** </t>
  </si>
  <si>
    <t xml:space="preserve">Nachdem Sie die Sprache eingestellt haben, stellen Sie bitte die korrekte Materialklasse ein. Dies muss im Tab  'F Supplier Approval Form' eingestellt werden.
(Die Definitionen der Materialklasse, finden Sie in BS.PU.002.An.01 / BST_PR_AD026 - Die aktuellste Version, finden Sie im B-Search)
**Anmerkung: Wenn Sie die Sprache nachträglich ändern, müssen alle Auswahlfelder erneut augewählt werden.** </t>
  </si>
  <si>
    <t>Um Missverständnisse mit dem Lieferanten zumeiden und Zeit zu sparen, soll der Einkäufer die entsprechende Sprache des Lieferanten auswählen (Englisch und Deutsch sind zur zeit wählbar) und soll die Cyber Security Category auswählen. Dies muss im Tab 'F Supplier Approval Form' in Zelle A1 und G27 eingestellt werden.</t>
  </si>
  <si>
    <t>South Korea</t>
  </si>
  <si>
    <t>Fiji</t>
  </si>
  <si>
    <t>Guinea-Bissau</t>
  </si>
  <si>
    <t>North Korea</t>
  </si>
  <si>
    <t>CPI Score (2022)</t>
  </si>
  <si>
    <t>CPI-Index 2022 eingepflegt</t>
  </si>
  <si>
    <t>M. Wippermann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</si>
</sst>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F800]dddd\,\ mmmm\ dd\,\ yyyy"/>
    <numFmt numFmtId="165" formatCode="yyyy\-mm\-dd;@"/>
    <numFmt numFmtId="166" formatCode="yyyy\-mm\-dd"/>
    <numFmt numFmtId="167" formatCode="#,##0\ &quot;€&quot;"/>
    <numFmt numFmtId="168" formatCode="#,##0.0"/>
  </numFmts>
  <fonts count="46">
    <font>
      <sz val="10"/>
      <name val="Arial"/>
    </font>
    <font>
      <sz val="10"/>
      <color theme="1"/>
      <name val="Arial"/>
      <family val="2"/>
    </font>
    <font>
      <sz val="10"/>
      <color theme="1"/>
      <name val="Arial"/>
      <family val="2"/>
    </font>
    <font>
      <sz val="10"/>
      <color theme="1"/>
      <name val="Arial"/>
      <family val="2"/>
    </font>
    <font>
      <sz val="10"/>
      <name val="Arial"/>
      <family val="2"/>
    </font>
    <font>
      <sz val="8"/>
      <name val="Arial"/>
      <family val="2"/>
    </font>
    <font>
      <b/>
      <sz val="11"/>
      <name val="Arial"/>
      <family val="2"/>
    </font>
    <font>
      <b/>
      <sz val="10"/>
      <name val="Arial"/>
      <family val="2"/>
    </font>
    <font>
      <sz val="9"/>
      <name val="Arial"/>
      <family val="2"/>
    </font>
    <font>
      <sz val="9"/>
      <name val="Arial"/>
      <family val="2"/>
    </font>
    <font>
      <sz val="10"/>
      <name val="Arial"/>
      <family val="2"/>
    </font>
    <font>
      <b/>
      <sz val="9"/>
      <name val="Arial"/>
      <family val="2"/>
    </font>
    <font>
      <b/>
      <sz val="11"/>
      <color indexed="8"/>
      <name val="Arial"/>
      <family val="2"/>
    </font>
    <font>
      <i/>
      <sz val="10"/>
      <name val="Arial"/>
      <family val="2"/>
    </font>
    <font>
      <sz val="10"/>
      <color indexed="8"/>
      <name val="Arial"/>
      <family val="2"/>
    </font>
    <font>
      <sz val="10"/>
      <name val="Arial"/>
      <family val="2"/>
    </font>
    <font>
      <b/>
      <sz val="12"/>
      <name val="Arial"/>
      <family val="2"/>
    </font>
    <font>
      <b/>
      <i/>
      <sz val="20"/>
      <name val="Arial"/>
      <family val="2"/>
    </font>
    <font>
      <b/>
      <sz val="9"/>
      <color indexed="8"/>
      <name val="Arial"/>
      <family val="2"/>
    </font>
    <font>
      <b/>
      <sz val="6"/>
      <name val="Arial"/>
      <family val="2"/>
    </font>
    <font>
      <sz val="10"/>
      <color rgb="FF000000"/>
      <name val="Arial"/>
      <family val="2"/>
    </font>
    <font>
      <sz val="10"/>
      <color rgb="FF222222"/>
      <name val="Arial"/>
      <family val="2"/>
    </font>
    <font>
      <b/>
      <sz val="20"/>
      <name val="Arial"/>
      <family val="2"/>
    </font>
    <font>
      <i/>
      <sz val="9"/>
      <color indexed="8"/>
      <name val="Arial"/>
      <family val="2"/>
    </font>
    <font>
      <i/>
      <sz val="9"/>
      <name val="Arial"/>
      <family val="2"/>
    </font>
    <font>
      <sz val="6"/>
      <name val="Arial"/>
      <family val="2"/>
    </font>
    <font>
      <b/>
      <sz val="8"/>
      <name val="Arial"/>
      <family val="2"/>
    </font>
    <font>
      <b/>
      <sz val="8"/>
      <color rgb="FF000000"/>
      <name val="Arial"/>
      <family val="2"/>
    </font>
    <font>
      <b/>
      <sz val="16"/>
      <name val="Arial"/>
      <family val="2"/>
    </font>
    <font>
      <b/>
      <sz val="12"/>
      <color rgb="FF0000FF"/>
      <name val="Arial"/>
      <family val="2"/>
    </font>
    <font>
      <b/>
      <sz val="12"/>
      <color theme="1"/>
      <name val="Arial"/>
      <family val="2"/>
    </font>
    <font>
      <b/>
      <sz val="10"/>
      <color theme="1"/>
      <name val="Arial"/>
      <family val="2"/>
    </font>
    <font>
      <sz val="10"/>
      <color rgb="FFFF0000"/>
      <name val="Arial"/>
      <family val="2"/>
    </font>
    <font>
      <b/>
      <sz val="8"/>
      <color rgb="FFFF0000"/>
      <name val="Arial"/>
      <family val="2"/>
    </font>
    <font>
      <b/>
      <sz val="26"/>
      <name val="Arial"/>
      <family val="2"/>
    </font>
    <font>
      <b/>
      <sz val="10"/>
      <color theme="0"/>
      <name val="Arial"/>
      <family val="2"/>
    </font>
    <font>
      <b/>
      <i/>
      <sz val="26"/>
      <color theme="3" tint="0.59999389629810485"/>
      <name val="Arial"/>
      <family val="2"/>
    </font>
    <font>
      <sz val="10"/>
      <color theme="0" tint="-0.499984740745262"/>
      <name val="Arial"/>
      <family val="2"/>
    </font>
    <font>
      <sz val="10"/>
      <color theme="0"/>
      <name val="Arial"/>
      <family val="2"/>
    </font>
    <font>
      <sz val="8"/>
      <name val="Arial"/>
      <family val="2"/>
    </font>
    <font>
      <sz val="9"/>
      <color theme="0"/>
      <name val="Arial"/>
      <family val="2"/>
    </font>
    <font>
      <u/>
      <sz val="10"/>
      <name val="Arial"/>
      <family val="2"/>
    </font>
    <font>
      <vertAlign val="superscript"/>
      <sz val="8"/>
      <name val="Arial"/>
      <family val="2"/>
    </font>
    <font>
      <sz val="8"/>
      <color theme="0"/>
      <name val="Arial"/>
      <family val="2"/>
    </font>
    <font>
      <b/>
      <sz val="8"/>
      <color theme="0"/>
      <name val="Arial"/>
      <family val="2"/>
    </font>
    <font>
      <b/>
      <vertAlign val="superscript"/>
      <sz val="10"/>
      <name val="Arial"/>
      <family val="2"/>
    </font>
  </fonts>
  <fills count="12">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0000"/>
        <bgColor indexed="64"/>
      </patternFill>
    </fill>
    <fill>
      <patternFill patternType="solid">
        <fgColor theme="0" tint="-0.499984740745262"/>
        <bgColor indexed="64"/>
      </patternFill>
    </fill>
    <fill>
      <patternFill patternType="solid">
        <fgColor rgb="FF92D050"/>
        <bgColor indexed="64"/>
      </patternFill>
    </fill>
    <fill>
      <patternFill patternType="solid">
        <fgColor rgb="FFFFFF00"/>
        <bgColor indexed="64"/>
      </patternFill>
    </fill>
    <fill>
      <patternFill patternType="solid">
        <fgColor theme="2" tint="-9.9978637043366805E-2"/>
        <bgColor indexed="64"/>
      </patternFill>
    </fill>
  </fills>
  <borders count="107">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auto="1"/>
      </left>
      <right style="medium">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right style="thin">
        <color indexed="64"/>
      </right>
      <top/>
      <bottom/>
      <diagonal/>
    </border>
    <border>
      <left/>
      <right style="hair">
        <color indexed="64"/>
      </right>
      <top style="medium">
        <color indexed="64"/>
      </top>
      <bottom/>
      <diagonal/>
    </border>
    <border>
      <left/>
      <right style="hair">
        <color auto="1"/>
      </right>
      <top style="hair">
        <color auto="1"/>
      </top>
      <bottom style="hair">
        <color auto="1"/>
      </bottom>
      <diagonal/>
    </border>
    <border>
      <left style="thin">
        <color indexed="64"/>
      </left>
      <right style="thin">
        <color indexed="64"/>
      </right>
      <top/>
      <bottom/>
      <diagonal/>
    </border>
    <border>
      <left/>
      <right style="thin">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hair">
        <color indexed="64"/>
      </left>
      <right/>
      <top/>
      <bottom style="medium">
        <color indexed="64"/>
      </bottom>
      <diagonal/>
    </border>
    <border>
      <left/>
      <right style="hair">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dashed">
        <color indexed="64"/>
      </bottom>
      <diagonal/>
    </border>
    <border>
      <left/>
      <right/>
      <top style="thin">
        <color indexed="64"/>
      </top>
      <bottom style="dashed">
        <color indexed="64"/>
      </bottom>
      <diagonal/>
    </border>
    <border>
      <left/>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bottom style="medium">
        <color indexed="64"/>
      </bottom>
      <diagonal/>
    </border>
    <border>
      <left style="hair">
        <color auto="1"/>
      </left>
      <right/>
      <top style="medium">
        <color auto="1"/>
      </top>
      <bottom/>
      <diagonal/>
    </border>
    <border>
      <left style="hair">
        <color auto="1"/>
      </left>
      <right/>
      <top/>
      <bottom/>
      <diagonal/>
    </border>
    <border>
      <left style="medium">
        <color auto="1"/>
      </left>
      <right style="hair">
        <color auto="1"/>
      </right>
      <top style="medium">
        <color auto="1"/>
      </top>
      <bottom/>
      <diagonal/>
    </border>
    <border>
      <left style="medium">
        <color auto="1"/>
      </left>
      <right style="hair">
        <color auto="1"/>
      </right>
      <top/>
      <bottom/>
      <diagonal/>
    </border>
    <border>
      <left style="medium">
        <color auto="1"/>
      </left>
      <right style="hair">
        <color auto="1"/>
      </right>
      <top/>
      <bottom style="medium">
        <color auto="1"/>
      </bottom>
      <diagonal/>
    </border>
    <border>
      <left style="hair">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hair">
        <color auto="1"/>
      </left>
      <right style="hair">
        <color auto="1"/>
      </right>
      <top style="medium">
        <color indexed="64"/>
      </top>
      <bottom/>
      <diagonal/>
    </border>
    <border>
      <left style="hair">
        <color auto="1"/>
      </left>
      <right style="medium">
        <color auto="1"/>
      </right>
      <top style="medium">
        <color indexed="64"/>
      </top>
      <bottom/>
      <diagonal/>
    </border>
  </borders>
  <cellStyleXfs count="6">
    <xf numFmtId="0" fontId="0" fillId="0" borderId="0"/>
    <xf numFmtId="9" fontId="15" fillId="0" borderId="0" applyFont="0" applyFill="0" applyBorder="0" applyAlignment="0" applyProtection="0"/>
    <xf numFmtId="0" fontId="4" fillId="0" borderId="0"/>
    <xf numFmtId="164" fontId="4" fillId="0" borderId="0"/>
    <xf numFmtId="0" fontId="4" fillId="0" borderId="0"/>
    <xf numFmtId="0" fontId="4" fillId="0" borderId="0"/>
  </cellStyleXfs>
  <cellXfs count="686">
    <xf numFmtId="0" fontId="0" fillId="0" borderId="0" xfId="0"/>
    <xf numFmtId="0" fontId="4" fillId="0" borderId="0" xfId="0" applyFont="1"/>
    <xf numFmtId="0" fontId="4" fillId="3" borderId="0" xfId="0" applyFont="1" applyFill="1"/>
    <xf numFmtId="0" fontId="0" fillId="3" borderId="0" xfId="0" applyFill="1"/>
    <xf numFmtId="0" fontId="4" fillId="0" borderId="0" xfId="0" applyFont="1" applyAlignment="1">
      <alignment vertical="justify"/>
    </xf>
    <xf numFmtId="0" fontId="4" fillId="0" borderId="0" xfId="0" applyFont="1" applyAlignment="1">
      <alignment wrapText="1"/>
    </xf>
    <xf numFmtId="0" fontId="4" fillId="0" borderId="0" xfId="2"/>
    <xf numFmtId="0" fontId="0" fillId="0" borderId="0" xfId="0"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0" xfId="0" quotePrefix="1" applyFont="1"/>
    <xf numFmtId="0" fontId="4" fillId="0" borderId="0" xfId="0" applyFont="1" applyAlignment="1">
      <alignment horizontal="left" vertical="top" wrapText="1"/>
    </xf>
    <xf numFmtId="0" fontId="0" fillId="0" borderId="0" xfId="0" quotePrefix="1"/>
    <xf numFmtId="0" fontId="4" fillId="0" borderId="0" xfId="0" applyFont="1" applyAlignment="1">
      <alignment horizontal="left" vertical="center"/>
    </xf>
    <xf numFmtId="0" fontId="21"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0" fillId="0" borderId="0" xfId="0" applyAlignment="1">
      <alignment wrapText="1"/>
    </xf>
    <xf numFmtId="0" fontId="4" fillId="0" borderId="0" xfId="0" quotePrefix="1" applyFont="1" applyAlignment="1">
      <alignment vertical="justify"/>
    </xf>
    <xf numFmtId="0" fontId="4" fillId="0" borderId="0" xfId="0" applyFont="1" applyAlignment="1">
      <alignment vertical="justify" wrapText="1"/>
    </xf>
    <xf numFmtId="0" fontId="4" fillId="0" borderId="0" xfId="0" applyFont="1" applyAlignment="1">
      <alignment horizontal="left" vertical="center" wrapText="1"/>
    </xf>
    <xf numFmtId="0" fontId="4" fillId="0" borderId="0" xfId="0" applyFont="1" applyAlignment="1" applyProtection="1">
      <alignment wrapText="1"/>
      <protection locked="0"/>
    </xf>
    <xf numFmtId="0" fontId="14" fillId="0" borderId="0" xfId="0" applyFont="1"/>
    <xf numFmtId="0" fontId="8" fillId="0" borderId="0" xfId="0" applyFont="1" applyAlignment="1">
      <alignment vertical="center"/>
    </xf>
    <xf numFmtId="0" fontId="8" fillId="0" borderId="0" xfId="0" applyFont="1" applyAlignment="1">
      <alignment vertical="center" wrapText="1"/>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7" fillId="0" borderId="38" xfId="0" applyFont="1" applyBorder="1" applyAlignment="1">
      <alignment vertical="center"/>
    </xf>
    <xf numFmtId="0" fontId="17" fillId="0" borderId="37" xfId="0" applyFont="1" applyBorder="1" applyAlignment="1">
      <alignment horizontal="center" vertical="center"/>
    </xf>
    <xf numFmtId="0" fontId="4" fillId="0" borderId="0" xfId="2" applyAlignment="1">
      <alignment vertical="top"/>
    </xf>
    <xf numFmtId="0" fontId="6" fillId="0" borderId="0" xfId="2" applyFont="1" applyAlignment="1">
      <alignment horizontal="center" vertical="top"/>
    </xf>
    <xf numFmtId="0" fontId="7" fillId="0" borderId="0" xfId="2" applyFont="1" applyAlignment="1">
      <alignment vertical="top" wrapText="1"/>
    </xf>
    <xf numFmtId="0" fontId="4" fillId="0" borderId="0" xfId="2" applyAlignment="1">
      <alignment vertical="top" wrapText="1"/>
    </xf>
    <xf numFmtId="0" fontId="4" fillId="0" borderId="0" xfId="2" applyAlignment="1">
      <alignment vertical="center" wrapText="1"/>
    </xf>
    <xf numFmtId="0" fontId="4" fillId="0" borderId="0" xfId="2" applyAlignment="1">
      <alignment horizontal="center" vertical="top"/>
    </xf>
    <xf numFmtId="0" fontId="4" fillId="0" borderId="0" xfId="2" applyAlignment="1">
      <alignment vertical="center"/>
    </xf>
    <xf numFmtId="0" fontId="16" fillId="0" borderId="0" xfId="0" applyFont="1" applyAlignment="1">
      <alignment horizontal="left"/>
    </xf>
    <xf numFmtId="0" fontId="6" fillId="3" borderId="1" xfId="2" applyFont="1" applyFill="1" applyBorder="1" applyAlignment="1">
      <alignment horizontal="center" vertical="top" wrapText="1"/>
    </xf>
    <xf numFmtId="0" fontId="7" fillId="0" borderId="0" xfId="0" applyFont="1" applyAlignment="1">
      <alignment horizontal="right" vertical="center" wrapText="1"/>
    </xf>
    <xf numFmtId="0" fontId="11" fillId="0" borderId="0" xfId="0" applyFont="1" applyAlignment="1">
      <alignment horizontal="center" vertical="center"/>
    </xf>
    <xf numFmtId="0" fontId="6" fillId="0" borderId="0" xfId="0" applyFont="1" applyAlignment="1">
      <alignment horizontal="right" vertical="center" wrapText="1"/>
    </xf>
    <xf numFmtId="0" fontId="5" fillId="0" borderId="32" xfId="0" applyFont="1" applyBorder="1" applyAlignment="1">
      <alignment horizontal="center" vertical="center" wrapText="1"/>
    </xf>
    <xf numFmtId="0" fontId="7" fillId="0" borderId="0" xfId="0" applyFont="1" applyAlignment="1">
      <alignment horizontal="center" vertical="center"/>
    </xf>
    <xf numFmtId="0" fontId="4" fillId="0" borderId="55"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vertical="top"/>
    </xf>
    <xf numFmtId="0" fontId="10" fillId="0" borderId="0" xfId="0" applyFont="1" applyAlignment="1">
      <alignment vertical="center" wrapText="1"/>
    </xf>
    <xf numFmtId="0" fontId="4" fillId="0" borderId="0" xfId="0" applyFont="1" applyAlignment="1">
      <alignment horizontal="center" vertical="center" wrapText="1"/>
    </xf>
    <xf numFmtId="0" fontId="0" fillId="4" borderId="0" xfId="0" applyFill="1"/>
    <xf numFmtId="0" fontId="25" fillId="4" borderId="0" xfId="0" applyFont="1" applyFill="1" applyAlignment="1">
      <alignment vertical="center"/>
    </xf>
    <xf numFmtId="0" fontId="26" fillId="4" borderId="0" xfId="0" applyFont="1" applyFill="1" applyAlignment="1">
      <alignment vertical="center"/>
    </xf>
    <xf numFmtId="0" fontId="19" fillId="4" borderId="0" xfId="0" applyFont="1" applyFill="1" applyAlignment="1">
      <alignment horizontal="justify" vertical="center"/>
    </xf>
    <xf numFmtId="0" fontId="26" fillId="4" borderId="36" xfId="0" applyFont="1" applyFill="1" applyBorder="1" applyAlignment="1">
      <alignment horizontal="left" vertical="center" wrapText="1"/>
    </xf>
    <xf numFmtId="0" fontId="7" fillId="4" borderId="5" xfId="0" applyFont="1" applyFill="1" applyBorder="1" applyAlignment="1">
      <alignment horizontal="center" vertical="center" wrapText="1"/>
    </xf>
    <xf numFmtId="0" fontId="27" fillId="4" borderId="0" xfId="0" applyFont="1" applyFill="1" applyAlignment="1">
      <alignment horizontal="center" vertical="center" wrapText="1" readingOrder="1"/>
    </xf>
    <xf numFmtId="0" fontId="26" fillId="4" borderId="6" xfId="0" applyFont="1" applyFill="1" applyBorder="1" applyAlignment="1">
      <alignment vertical="center" wrapText="1"/>
    </xf>
    <xf numFmtId="0" fontId="5" fillId="4" borderId="6" xfId="0" applyFont="1" applyFill="1" applyBorder="1" applyAlignment="1">
      <alignment horizontal="justify" vertical="center" wrapText="1"/>
    </xf>
    <xf numFmtId="0" fontId="32" fillId="4" borderId="0" xfId="0" applyFont="1" applyFill="1"/>
    <xf numFmtId="0" fontId="4" fillId="4" borderId="0" xfId="0" applyFont="1" applyFill="1"/>
    <xf numFmtId="0" fontId="5" fillId="4" borderId="6" xfId="0" applyFont="1" applyFill="1" applyBorder="1" applyAlignment="1">
      <alignment vertical="center" wrapText="1"/>
    </xf>
    <xf numFmtId="9" fontId="0" fillId="0" borderId="0" xfId="0" applyNumberFormat="1" applyAlignment="1">
      <alignment horizontal="center" vertical="center"/>
    </xf>
    <xf numFmtId="0" fontId="0" fillId="4" borderId="0" xfId="0" applyFill="1" applyAlignment="1">
      <alignment vertical="center"/>
    </xf>
    <xf numFmtId="0" fontId="5" fillId="4" borderId="1" xfId="0" applyFont="1" applyFill="1" applyBorder="1" applyAlignment="1">
      <alignment vertical="center" wrapText="1"/>
    </xf>
    <xf numFmtId="0" fontId="5" fillId="4" borderId="7" xfId="0" applyFont="1" applyFill="1" applyBorder="1" applyAlignment="1">
      <alignment horizontal="left" vertical="center" wrapText="1"/>
    </xf>
    <xf numFmtId="0" fontId="0" fillId="4" borderId="2" xfId="0" applyFill="1" applyBorder="1"/>
    <xf numFmtId="0" fontId="4" fillId="4" borderId="36" xfId="0" applyFont="1" applyFill="1" applyBorder="1" applyAlignment="1">
      <alignment horizontal="right" vertical="center" wrapText="1"/>
    </xf>
    <xf numFmtId="0" fontId="4" fillId="4" borderId="35" xfId="0" applyFont="1" applyFill="1" applyBorder="1" applyAlignment="1" applyProtection="1">
      <alignment horizontal="center" vertical="center"/>
      <protection locked="0"/>
    </xf>
    <xf numFmtId="0" fontId="4" fillId="4" borderId="23" xfId="0" applyFont="1" applyFill="1" applyBorder="1" applyAlignment="1">
      <alignment horizontal="right" vertical="center" wrapText="1"/>
    </xf>
    <xf numFmtId="0" fontId="20" fillId="0" borderId="0" xfId="0" applyFont="1" applyAlignment="1">
      <alignment vertical="center" wrapText="1"/>
    </xf>
    <xf numFmtId="0" fontId="0" fillId="0" borderId="0" xfId="0" applyAlignment="1">
      <alignment horizontal="left" vertical="center"/>
    </xf>
    <xf numFmtId="0" fontId="5" fillId="4" borderId="6" xfId="0" applyFont="1" applyFill="1" applyBorder="1" applyAlignment="1">
      <alignment horizontal="right" vertical="center" wrapText="1"/>
    </xf>
    <xf numFmtId="0" fontId="4" fillId="0" borderId="13" xfId="0" applyFont="1" applyBorder="1" applyAlignment="1">
      <alignment horizontal="center" vertical="center"/>
    </xf>
    <xf numFmtId="0" fontId="4" fillId="0" borderId="13" xfId="0" applyFont="1" applyBorder="1" applyAlignment="1">
      <alignment horizontal="left" vertical="center"/>
    </xf>
    <xf numFmtId="0" fontId="6" fillId="0" borderId="15" xfId="0" applyFont="1" applyBorder="1" applyAlignment="1">
      <alignment horizontal="center" vertical="top"/>
    </xf>
    <xf numFmtId="0" fontId="4" fillId="0" borderId="29" xfId="3" applyNumberFormat="1" applyBorder="1"/>
    <xf numFmtId="0" fontId="4" fillId="0" borderId="29" xfId="3" applyNumberFormat="1" applyBorder="1" applyAlignment="1">
      <alignment vertical="top"/>
    </xf>
    <xf numFmtId="0" fontId="4" fillId="0" borderId="29" xfId="0" applyFont="1" applyBorder="1" applyAlignment="1">
      <alignment horizontal="left" vertical="top"/>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6" fillId="0" borderId="18" xfId="0" applyFont="1" applyBorder="1" applyAlignment="1">
      <alignment horizontal="center" vertical="top"/>
    </xf>
    <xf numFmtId="0" fontId="4" fillId="0" borderId="0" xfId="3" applyNumberFormat="1"/>
    <xf numFmtId="0" fontId="4" fillId="0" borderId="0" xfId="3" applyNumberFormat="1" applyAlignment="1">
      <alignment vertical="top"/>
    </xf>
    <xf numFmtId="0" fontId="4" fillId="0" borderId="0" xfId="0" applyFont="1" applyAlignment="1">
      <alignment horizontal="center" vertical="center"/>
    </xf>
    <xf numFmtId="0" fontId="4" fillId="0" borderId="50" xfId="0" applyFont="1" applyBorder="1" applyAlignment="1">
      <alignment horizontal="center" vertical="center"/>
    </xf>
    <xf numFmtId="0" fontId="28" fillId="0" borderId="24" xfId="0" applyFont="1" applyBorder="1" applyAlignment="1">
      <alignment horizontal="center" vertical="center"/>
    </xf>
    <xf numFmtId="0" fontId="4" fillId="0" borderId="13" xfId="0" applyFont="1" applyBorder="1"/>
    <xf numFmtId="0" fontId="4" fillId="0" borderId="46" xfId="0" applyFont="1" applyBorder="1" applyAlignment="1">
      <alignment horizontal="center" vertical="center"/>
    </xf>
    <xf numFmtId="0" fontId="7" fillId="5" borderId="67" xfId="0" applyFont="1" applyFill="1" applyBorder="1" applyAlignment="1">
      <alignment horizontal="left" vertical="top" wrapText="1"/>
    </xf>
    <xf numFmtId="0" fontId="7" fillId="5" borderId="66" xfId="0" applyFont="1" applyFill="1" applyBorder="1" applyAlignment="1">
      <alignment horizontal="left" vertical="top"/>
    </xf>
    <xf numFmtId="167" fontId="4" fillId="4" borderId="28" xfId="0" applyNumberFormat="1" applyFont="1" applyFill="1" applyBorder="1" applyAlignment="1" applyProtection="1">
      <alignment vertical="center"/>
      <protection locked="0"/>
    </xf>
    <xf numFmtId="0" fontId="36" fillId="0" borderId="31" xfId="0" applyFont="1" applyBorder="1" applyAlignment="1" applyProtection="1">
      <alignment horizontal="center" vertical="center"/>
      <protection locked="0"/>
    </xf>
    <xf numFmtId="0" fontId="3" fillId="0" borderId="0" xfId="0" applyFont="1"/>
    <xf numFmtId="0" fontId="35" fillId="0" borderId="37" xfId="0" applyFont="1" applyBorder="1" applyAlignment="1">
      <alignment horizontal="center" vertical="center"/>
    </xf>
    <xf numFmtId="0" fontId="35" fillId="0" borderId="38" xfId="0" applyFont="1" applyBorder="1" applyAlignment="1">
      <alignment horizontal="center" vertical="center"/>
    </xf>
    <xf numFmtId="0" fontId="35" fillId="0" borderId="31" xfId="0" applyFont="1" applyBorder="1" applyAlignment="1">
      <alignment horizontal="center" vertical="center"/>
    </xf>
    <xf numFmtId="0" fontId="37" fillId="8" borderId="0" xfId="0" applyFont="1" applyFill="1"/>
    <xf numFmtId="0" fontId="4" fillId="7" borderId="0" xfId="4" quotePrefix="1" applyFill="1" applyAlignment="1">
      <alignment horizontal="left" vertical="top"/>
    </xf>
    <xf numFmtId="0" fontId="4" fillId="7" borderId="0" xfId="4" applyFill="1" applyAlignment="1">
      <alignment horizontal="center" vertical="top"/>
    </xf>
    <xf numFmtId="0" fontId="4" fillId="0" borderId="0" xfId="4" applyAlignment="1">
      <alignment horizontal="center" vertical="top"/>
    </xf>
    <xf numFmtId="0" fontId="4" fillId="0" borderId="0" xfId="4" applyAlignment="1">
      <alignment horizontal="left"/>
    </xf>
    <xf numFmtId="0" fontId="4" fillId="0" borderId="0" xfId="4" quotePrefix="1" applyAlignment="1">
      <alignment horizontal="left" vertical="top"/>
    </xf>
    <xf numFmtId="0" fontId="4" fillId="0" borderId="0" xfId="4" applyAlignment="1">
      <alignment horizontal="left" vertical="top"/>
    </xf>
    <xf numFmtId="0" fontId="0" fillId="0" borderId="11" xfId="0" applyBorder="1"/>
    <xf numFmtId="0" fontId="7" fillId="0" borderId="10" xfId="0" applyFont="1" applyBorder="1" applyAlignment="1">
      <alignment horizontal="center" wrapText="1"/>
    </xf>
    <xf numFmtId="0" fontId="7" fillId="0" borderId="12" xfId="0" applyFont="1" applyBorder="1" applyAlignment="1">
      <alignment horizontal="center" wrapText="1"/>
    </xf>
    <xf numFmtId="0" fontId="0" fillId="0" borderId="16" xfId="0" applyBorder="1"/>
    <xf numFmtId="0" fontId="4" fillId="0" borderId="6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48" xfId="0" applyBorder="1" applyAlignment="1">
      <alignment vertical="center"/>
    </xf>
    <xf numFmtId="0" fontId="2" fillId="0" borderId="0" xfId="0" applyFont="1"/>
    <xf numFmtId="0" fontId="5" fillId="4" borderId="6" xfId="0" applyFont="1" applyFill="1" applyBorder="1" applyAlignment="1">
      <alignment vertical="center"/>
    </xf>
    <xf numFmtId="0" fontId="41" fillId="0" borderId="0" xfId="0" applyFont="1"/>
    <xf numFmtId="49" fontId="4" fillId="0" borderId="6" xfId="0" quotePrefix="1" applyNumberFormat="1" applyFont="1" applyBorder="1" applyAlignment="1">
      <alignment horizontal="center" vertical="center" wrapText="1"/>
    </xf>
    <xf numFmtId="49" fontId="4" fillId="0" borderId="7" xfId="0" quotePrefix="1" applyNumberFormat="1" applyFont="1" applyBorder="1" applyAlignment="1">
      <alignment horizontal="center" vertical="center" wrapText="1"/>
    </xf>
    <xf numFmtId="0" fontId="4" fillId="0" borderId="86" xfId="0" applyFont="1" applyBorder="1" applyAlignment="1" applyProtection="1">
      <alignment horizontal="center" vertical="center" wrapText="1"/>
      <protection locked="0"/>
    </xf>
    <xf numFmtId="0" fontId="6" fillId="3" borderId="30" xfId="0" applyFont="1" applyFill="1" applyBorder="1" applyAlignment="1">
      <alignment vertical="center" wrapText="1"/>
    </xf>
    <xf numFmtId="49" fontId="4" fillId="0" borderId="1" xfId="0" quotePrefix="1" applyNumberFormat="1" applyFont="1" applyBorder="1" applyAlignment="1">
      <alignment horizontal="center" vertical="center" wrapText="1"/>
    </xf>
    <xf numFmtId="0" fontId="4" fillId="0" borderId="87" xfId="2" quotePrefix="1" applyBorder="1" applyAlignment="1">
      <alignment horizontal="center" vertical="top"/>
    </xf>
    <xf numFmtId="0" fontId="4" fillId="0" borderId="96" xfId="2" applyBorder="1" applyAlignment="1" applyProtection="1">
      <alignment horizontal="center" vertical="center" wrapText="1"/>
      <protection locked="0"/>
    </xf>
    <xf numFmtId="0" fontId="6" fillId="0" borderId="23" xfId="2" applyFont="1" applyBorder="1" applyAlignment="1">
      <alignment horizontal="center" vertical="center"/>
    </xf>
    <xf numFmtId="0" fontId="13" fillId="0" borderId="18" xfId="0" applyFont="1" applyBorder="1" applyAlignment="1">
      <alignment horizontal="left"/>
    </xf>
    <xf numFmtId="0" fontId="0" fillId="0" borderId="50" xfId="0" applyBorder="1"/>
    <xf numFmtId="0" fontId="4" fillId="0" borderId="5" xfId="2" applyBorder="1" applyAlignment="1" applyProtection="1">
      <alignment horizontal="center" vertical="center" wrapText="1"/>
      <protection locked="0"/>
    </xf>
    <xf numFmtId="0" fontId="6" fillId="0" borderId="15" xfId="0" applyFont="1" applyBorder="1"/>
    <xf numFmtId="0" fontId="10" fillId="0" borderId="29" xfId="0" applyFont="1" applyBorder="1"/>
    <xf numFmtId="0" fontId="10" fillId="0" borderId="30" xfId="0" applyFont="1" applyBorder="1"/>
    <xf numFmtId="0" fontId="8" fillId="0" borderId="18" xfId="0" applyFont="1" applyBorder="1"/>
    <xf numFmtId="0" fontId="10" fillId="0" borderId="0" xfId="0" applyFont="1"/>
    <xf numFmtId="0" fontId="10" fillId="0" borderId="50" xfId="0" applyFont="1" applyBorder="1"/>
    <xf numFmtId="0" fontId="0" fillId="0" borderId="18" xfId="0" applyBorder="1"/>
    <xf numFmtId="0" fontId="7" fillId="5" borderId="61" xfId="0" applyFont="1" applyFill="1" applyBorder="1" applyAlignment="1">
      <alignment vertical="top" wrapText="1"/>
    </xf>
    <xf numFmtId="0" fontId="7" fillId="5" borderId="64" xfId="0" applyFont="1" applyFill="1" applyBorder="1" applyAlignment="1">
      <alignment vertical="top" wrapText="1"/>
    </xf>
    <xf numFmtId="165" fontId="5" fillId="0" borderId="12" xfId="0" applyNumberFormat="1" applyFont="1" applyBorder="1" applyAlignment="1">
      <alignment horizontal="left" vertical="center" wrapText="1"/>
    </xf>
    <xf numFmtId="0" fontId="7" fillId="5" borderId="90" xfId="0" applyFont="1" applyFill="1" applyBorder="1" applyAlignment="1">
      <alignment vertical="top" wrapText="1"/>
    </xf>
    <xf numFmtId="0" fontId="44" fillId="4" borderId="1" xfId="0" applyFont="1" applyFill="1" applyBorder="1" applyAlignment="1">
      <alignment vertical="center" wrapText="1"/>
    </xf>
    <xf numFmtId="0" fontId="43" fillId="4" borderId="6" xfId="0" applyFont="1" applyFill="1" applyBorder="1" applyAlignment="1">
      <alignment horizontal="justify" vertical="center" wrapText="1"/>
    </xf>
    <xf numFmtId="0" fontId="43" fillId="4" borderId="7" xfId="0" applyFont="1" applyFill="1" applyBorder="1" applyAlignment="1">
      <alignment horizontal="left" vertical="center" wrapText="1"/>
    </xf>
    <xf numFmtId="0" fontId="7" fillId="0" borderId="0" xfId="2" applyFont="1"/>
    <xf numFmtId="0" fontId="7" fillId="0" borderId="0" xfId="2" applyFont="1" applyAlignment="1">
      <alignment wrapText="1"/>
    </xf>
    <xf numFmtId="49" fontId="4" fillId="11" borderId="0" xfId="2" applyNumberFormat="1" applyFill="1"/>
    <xf numFmtId="0" fontId="4" fillId="11" borderId="0" xfId="2" applyFill="1" applyAlignment="1">
      <alignment wrapText="1"/>
    </xf>
    <xf numFmtId="14" fontId="4" fillId="11" borderId="0" xfId="2" applyNumberFormat="1" applyFill="1" applyAlignment="1">
      <alignment horizontal="left" vertical="top" wrapText="1"/>
    </xf>
    <xf numFmtId="0" fontId="4" fillId="11" borderId="0" xfId="2" applyFill="1"/>
    <xf numFmtId="49" fontId="4" fillId="0" borderId="0" xfId="2" applyNumberFormat="1"/>
    <xf numFmtId="0" fontId="4" fillId="0" borderId="0" xfId="2" applyAlignment="1">
      <alignment wrapText="1"/>
    </xf>
    <xf numFmtId="0" fontId="4" fillId="0" borderId="0" xfId="2" applyAlignment="1">
      <alignment horizontal="left" vertical="top" wrapText="1"/>
    </xf>
    <xf numFmtId="14" fontId="4" fillId="0" borderId="0" xfId="2" applyNumberFormat="1" applyAlignment="1">
      <alignment horizontal="left" vertical="top" wrapText="1"/>
    </xf>
    <xf numFmtId="16" fontId="4" fillId="0" borderId="0" xfId="2" applyNumberFormat="1"/>
    <xf numFmtId="0" fontId="7" fillId="0" borderId="0" xfId="2" applyFont="1" applyAlignment="1">
      <alignment horizontal="left" wrapText="1"/>
    </xf>
    <xf numFmtId="49" fontId="4" fillId="0" borderId="0" xfId="0" applyNumberFormat="1" applyFont="1"/>
    <xf numFmtId="165" fontId="4" fillId="4" borderId="17" xfId="0" applyNumberFormat="1" applyFont="1" applyFill="1" applyBorder="1" applyAlignment="1">
      <alignment horizontal="center" vertical="center"/>
    </xf>
    <xf numFmtId="0" fontId="0" fillId="4" borderId="28" xfId="0" applyFill="1" applyBorder="1"/>
    <xf numFmtId="0" fontId="20" fillId="9" borderId="0" xfId="0" applyFont="1" applyFill="1" applyAlignment="1">
      <alignment horizontal="left" vertical="top" wrapText="1"/>
    </xf>
    <xf numFmtId="0" fontId="4" fillId="9" borderId="0" xfId="0" applyFont="1" applyFill="1" applyAlignment="1">
      <alignment vertical="top"/>
    </xf>
    <xf numFmtId="0" fontId="20" fillId="10" borderId="0" xfId="0" applyFont="1" applyFill="1" applyAlignment="1">
      <alignment horizontal="left" vertical="top" wrapText="1"/>
    </xf>
    <xf numFmtId="0" fontId="4" fillId="10" borderId="0" xfId="0" applyFont="1" applyFill="1" applyAlignment="1">
      <alignment vertical="top"/>
    </xf>
    <xf numFmtId="0" fontId="20" fillId="7" borderId="0" xfId="0" applyFont="1" applyFill="1" applyAlignment="1">
      <alignment horizontal="left" vertical="top" wrapText="1"/>
    </xf>
    <xf numFmtId="0" fontId="4" fillId="7" borderId="0" xfId="0" applyFont="1" applyFill="1" applyAlignment="1">
      <alignment vertical="top"/>
    </xf>
    <xf numFmtId="0" fontId="7" fillId="5" borderId="22" xfId="0" applyFont="1" applyFill="1" applyBorder="1" applyAlignment="1">
      <alignment horizontal="left" vertical="top"/>
    </xf>
    <xf numFmtId="0" fontId="7" fillId="5" borderId="71" xfId="0" applyFont="1" applyFill="1" applyBorder="1" applyAlignment="1">
      <alignment horizontal="left" vertical="top"/>
    </xf>
    <xf numFmtId="0" fontId="4" fillId="8" borderId="15" xfId="0" applyFont="1" applyFill="1" applyBorder="1" applyAlignment="1">
      <alignment horizontal="center" vertical="top" wrapText="1"/>
    </xf>
    <xf numFmtId="0" fontId="4" fillId="8" borderId="29" xfId="0" applyFont="1" applyFill="1" applyBorder="1" applyAlignment="1">
      <alignment horizontal="center" vertical="top" wrapText="1"/>
    </xf>
    <xf numFmtId="0" fontId="4" fillId="8" borderId="30" xfId="0" applyFont="1" applyFill="1" applyBorder="1" applyAlignment="1">
      <alignment horizontal="center" vertical="top" wrapText="1"/>
    </xf>
    <xf numFmtId="0" fontId="4" fillId="8" borderId="18" xfId="0" applyFont="1" applyFill="1" applyBorder="1" applyAlignment="1">
      <alignment horizontal="center" vertical="top" wrapText="1"/>
    </xf>
    <xf numFmtId="0" fontId="4" fillId="8" borderId="0" xfId="0" applyFont="1" applyFill="1" applyAlignment="1">
      <alignment horizontal="center" vertical="top" wrapText="1"/>
    </xf>
    <xf numFmtId="0" fontId="4" fillId="8" borderId="50" xfId="0" applyFont="1" applyFill="1" applyBorder="1" applyAlignment="1">
      <alignment horizontal="center" vertical="top" wrapText="1"/>
    </xf>
    <xf numFmtId="0" fontId="4" fillId="8" borderId="24" xfId="0" applyFont="1" applyFill="1" applyBorder="1" applyAlignment="1">
      <alignment horizontal="center" vertical="top" wrapText="1"/>
    </xf>
    <xf numFmtId="0" fontId="4" fillId="8" borderId="13" xfId="0" applyFont="1" applyFill="1" applyBorder="1" applyAlignment="1">
      <alignment horizontal="center" vertical="top" wrapText="1"/>
    </xf>
    <xf numFmtId="0" fontId="4" fillId="8" borderId="46" xfId="0" applyFont="1" applyFill="1" applyBorder="1" applyAlignment="1">
      <alignment horizontal="center" vertical="top" wrapText="1"/>
    </xf>
    <xf numFmtId="0" fontId="7" fillId="5" borderId="23" xfId="0" applyFont="1" applyFill="1" applyBorder="1" applyAlignment="1">
      <alignment horizontal="left" vertical="top"/>
    </xf>
    <xf numFmtId="0" fontId="7" fillId="5" borderId="70" xfId="0" applyFont="1" applyFill="1" applyBorder="1" applyAlignment="1">
      <alignment horizontal="left" vertical="top"/>
    </xf>
    <xf numFmtId="0" fontId="4" fillId="5" borderId="72" xfId="0" applyFont="1" applyFill="1" applyBorder="1" applyAlignment="1">
      <alignment horizontal="left" vertical="top" wrapText="1"/>
    </xf>
    <xf numFmtId="0" fontId="4" fillId="5" borderId="14" xfId="0" applyFont="1" applyFill="1" applyBorder="1" applyAlignment="1">
      <alignment horizontal="left" vertical="top" wrapText="1"/>
    </xf>
    <xf numFmtId="0" fontId="4" fillId="5" borderId="25" xfId="0" applyFont="1" applyFill="1" applyBorder="1" applyAlignment="1">
      <alignment horizontal="left" vertical="top" wrapText="1"/>
    </xf>
    <xf numFmtId="0" fontId="4" fillId="5" borderId="73" xfId="0" applyFont="1" applyFill="1" applyBorder="1" applyAlignment="1">
      <alignment horizontal="left" vertical="top" wrapText="1"/>
    </xf>
    <xf numFmtId="0" fontId="4" fillId="5" borderId="17" xfId="0" applyFont="1" applyFill="1" applyBorder="1" applyAlignment="1">
      <alignment horizontal="left" vertical="top" wrapText="1"/>
    </xf>
    <xf numFmtId="0" fontId="4" fillId="5" borderId="28" xfId="0" applyFont="1" applyFill="1" applyBorder="1" applyAlignment="1">
      <alignment horizontal="left" vertical="top" wrapText="1"/>
    </xf>
    <xf numFmtId="0" fontId="7" fillId="5" borderId="24" xfId="0" applyFont="1" applyFill="1" applyBorder="1" applyAlignment="1">
      <alignment horizontal="left" vertical="top"/>
    </xf>
    <xf numFmtId="0" fontId="7" fillId="5" borderId="74" xfId="0" applyFont="1" applyFill="1" applyBorder="1" applyAlignment="1">
      <alignment horizontal="left" vertical="top"/>
    </xf>
    <xf numFmtId="0" fontId="4" fillId="5" borderId="93" xfId="0" applyFont="1" applyFill="1" applyBorder="1" applyAlignment="1">
      <alignment horizontal="left" vertical="top" wrapText="1"/>
    </xf>
    <xf numFmtId="0" fontId="4" fillId="5" borderId="40" xfId="0" applyFont="1" applyFill="1" applyBorder="1" applyAlignment="1">
      <alignment horizontal="left" vertical="top" wrapText="1"/>
    </xf>
    <xf numFmtId="0" fontId="4" fillId="5" borderId="43" xfId="0" applyFont="1" applyFill="1" applyBorder="1" applyAlignment="1">
      <alignment horizontal="left" vertical="top" wrapText="1"/>
    </xf>
    <xf numFmtId="0" fontId="7" fillId="5" borderId="90" xfId="0" applyFont="1" applyFill="1" applyBorder="1" applyAlignment="1">
      <alignment horizontal="left" vertical="top"/>
    </xf>
    <xf numFmtId="0" fontId="7" fillId="5" borderId="91" xfId="0" applyFont="1" applyFill="1" applyBorder="1" applyAlignment="1">
      <alignment horizontal="left" vertical="top"/>
    </xf>
    <xf numFmtId="0" fontId="7" fillId="5" borderId="92" xfId="0" applyFont="1" applyFill="1" applyBorder="1" applyAlignment="1">
      <alignment horizontal="left" vertical="top"/>
    </xf>
    <xf numFmtId="0" fontId="4" fillId="5" borderId="88" xfId="0" applyFont="1" applyFill="1" applyBorder="1" applyAlignment="1">
      <alignment horizontal="left" vertical="top" wrapText="1"/>
    </xf>
    <xf numFmtId="0" fontId="4" fillId="5" borderId="29" xfId="0" applyFont="1" applyFill="1" applyBorder="1" applyAlignment="1">
      <alignment horizontal="left" vertical="top" wrapText="1"/>
    </xf>
    <xf numFmtId="0" fontId="4" fillId="5" borderId="30" xfId="0" applyFont="1" applyFill="1" applyBorder="1" applyAlignment="1">
      <alignment horizontal="left" vertical="top" wrapText="1"/>
    </xf>
    <xf numFmtId="0" fontId="4" fillId="5" borderId="89" xfId="0" applyFont="1" applyFill="1" applyBorder="1" applyAlignment="1">
      <alignment horizontal="left" vertical="top" wrapText="1"/>
    </xf>
    <xf numFmtId="0" fontId="4" fillId="5" borderId="0" xfId="0" applyFont="1" applyFill="1" applyAlignment="1">
      <alignment horizontal="left" vertical="top" wrapText="1"/>
    </xf>
    <xf numFmtId="0" fontId="4" fillId="5" borderId="50" xfId="0" applyFont="1" applyFill="1" applyBorder="1" applyAlignment="1">
      <alignment horizontal="left" vertical="top" wrapText="1"/>
    </xf>
    <xf numFmtId="0" fontId="4" fillId="5" borderId="78" xfId="0" applyFont="1" applyFill="1" applyBorder="1" applyAlignment="1">
      <alignment horizontal="left" vertical="top" wrapText="1"/>
    </xf>
    <xf numFmtId="0" fontId="4" fillId="5" borderId="13" xfId="0" applyFont="1" applyFill="1" applyBorder="1" applyAlignment="1">
      <alignment horizontal="left" vertical="top" wrapText="1"/>
    </xf>
    <xf numFmtId="0" fontId="4" fillId="5" borderId="46" xfId="0" applyFont="1" applyFill="1" applyBorder="1" applyAlignment="1">
      <alignment horizontal="left" vertical="top" wrapText="1"/>
    </xf>
    <xf numFmtId="0" fontId="7" fillId="3" borderId="31" xfId="0" applyFont="1" applyFill="1" applyBorder="1" applyAlignment="1">
      <alignment horizontal="center" vertical="center" wrapText="1"/>
    </xf>
    <xf numFmtId="0" fontId="7" fillId="3" borderId="37"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57" xfId="0" applyFont="1" applyFill="1" applyBorder="1" applyAlignment="1">
      <alignment horizontal="center" vertical="center"/>
    </xf>
    <xf numFmtId="0" fontId="4" fillId="6" borderId="15" xfId="0" applyFont="1" applyFill="1" applyBorder="1" applyAlignment="1">
      <alignment horizontal="left" vertical="top" wrapText="1"/>
    </xf>
    <xf numFmtId="0" fontId="4" fillId="6" borderId="29" xfId="0" applyFont="1" applyFill="1" applyBorder="1" applyAlignment="1">
      <alignment horizontal="left" vertical="top" wrapText="1"/>
    </xf>
    <xf numFmtId="0" fontId="4" fillId="6" borderId="30"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0" xfId="0" applyFont="1" applyFill="1" applyAlignment="1">
      <alignment horizontal="left" vertical="top" wrapText="1"/>
    </xf>
    <xf numFmtId="0" fontId="4" fillId="6" borderId="50" xfId="0" applyFont="1" applyFill="1" applyBorder="1" applyAlignment="1">
      <alignment horizontal="left" vertical="top" wrapText="1"/>
    </xf>
    <xf numFmtId="0" fontId="4" fillId="6" borderId="24"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46" xfId="0" applyFont="1" applyFill="1" applyBorder="1" applyAlignment="1">
      <alignment horizontal="left" vertical="top" wrapText="1"/>
    </xf>
    <xf numFmtId="0" fontId="7" fillId="5" borderId="58" xfId="0" applyFont="1" applyFill="1" applyBorder="1" applyAlignment="1">
      <alignment horizontal="left" vertical="top" wrapText="1"/>
    </xf>
    <xf numFmtId="0" fontId="7" fillId="5" borderId="61" xfId="0" applyFont="1" applyFill="1" applyBorder="1" applyAlignment="1">
      <alignment horizontal="left" vertical="top" wrapText="1"/>
    </xf>
    <xf numFmtId="0" fontId="4" fillId="5" borderId="59" xfId="0" applyFont="1" applyFill="1" applyBorder="1" applyAlignment="1">
      <alignment horizontal="left" vertical="top" wrapText="1"/>
    </xf>
    <xf numFmtId="0" fontId="4" fillId="5" borderId="60" xfId="0" applyFont="1" applyFill="1" applyBorder="1" applyAlignment="1">
      <alignment horizontal="left" vertical="top" wrapText="1"/>
    </xf>
    <xf numFmtId="0" fontId="4" fillId="5" borderId="62" xfId="0" applyFont="1" applyFill="1" applyBorder="1" applyAlignment="1">
      <alignment horizontal="left" vertical="top" wrapText="1"/>
    </xf>
    <xf numFmtId="0" fontId="4" fillId="5" borderId="63" xfId="0" applyFont="1" applyFill="1" applyBorder="1" applyAlignment="1">
      <alignment horizontal="left" vertical="top" wrapTex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4" fillId="5" borderId="97" xfId="0" applyFont="1" applyFill="1" applyBorder="1" applyAlignment="1">
      <alignment horizontal="left" vertical="top" wrapText="1"/>
    </xf>
    <xf numFmtId="0" fontId="4" fillId="5" borderId="98" xfId="0" applyFont="1" applyFill="1" applyBorder="1" applyAlignment="1">
      <alignment horizontal="left" vertical="top" wrapText="1"/>
    </xf>
    <xf numFmtId="0" fontId="4" fillId="5" borderId="99" xfId="0" applyFont="1" applyFill="1" applyBorder="1" applyAlignment="1">
      <alignment horizontal="left" vertical="top" wrapText="1"/>
    </xf>
    <xf numFmtId="0" fontId="4" fillId="5" borderId="100" xfId="0" applyFont="1" applyFill="1" applyBorder="1" applyAlignment="1">
      <alignment horizontal="left" vertical="top" wrapText="1"/>
    </xf>
    <xf numFmtId="0" fontId="4" fillId="5" borderId="101" xfId="0" applyFont="1" applyFill="1" applyBorder="1" applyAlignment="1">
      <alignment horizontal="left" vertical="top" wrapText="1"/>
    </xf>
    <xf numFmtId="0" fontId="4" fillId="5" borderId="102" xfId="0" applyFont="1" applyFill="1" applyBorder="1" applyAlignment="1">
      <alignment horizontal="left" vertical="top" wrapText="1"/>
    </xf>
    <xf numFmtId="0" fontId="34" fillId="0" borderId="57" xfId="0" applyFont="1" applyBorder="1" applyAlignment="1">
      <alignment horizontal="center" vertical="center"/>
    </xf>
    <xf numFmtId="0" fontId="16" fillId="6" borderId="57" xfId="0" applyFont="1" applyFill="1" applyBorder="1" applyAlignment="1">
      <alignment horizontal="center" vertical="center"/>
    </xf>
    <xf numFmtId="0" fontId="16" fillId="5" borderId="57" xfId="0" applyFont="1" applyFill="1" applyBorder="1" applyAlignment="1">
      <alignment horizontal="center" vertical="center"/>
    </xf>
    <xf numFmtId="0" fontId="0" fillId="3" borderId="57" xfId="0" applyFill="1" applyBorder="1" applyAlignment="1">
      <alignment horizontal="center" vertical="center"/>
    </xf>
    <xf numFmtId="0" fontId="4" fillId="5" borderId="105" xfId="0" applyFont="1" applyFill="1" applyBorder="1" applyAlignment="1">
      <alignment vertical="top"/>
    </xf>
    <xf numFmtId="0" fontId="0" fillId="5" borderId="105" xfId="0" applyFill="1" applyBorder="1" applyAlignment="1">
      <alignment vertical="top"/>
    </xf>
    <xf numFmtId="0" fontId="0" fillId="5" borderId="106" xfId="0" applyFill="1" applyBorder="1" applyAlignment="1">
      <alignment vertical="top"/>
    </xf>
    <xf numFmtId="0" fontId="16" fillId="4" borderId="39" xfId="0" applyFont="1" applyFill="1" applyBorder="1" applyAlignment="1">
      <alignment horizontal="center" vertical="center" wrapText="1"/>
    </xf>
    <xf numFmtId="0" fontId="16" fillId="4" borderId="40" xfId="0" applyFont="1" applyFill="1" applyBorder="1" applyAlignment="1">
      <alignment horizontal="center" vertical="center" wrapText="1"/>
    </xf>
    <xf numFmtId="0" fontId="16" fillId="4" borderId="79" xfId="0" applyFont="1" applyFill="1" applyBorder="1" applyAlignment="1">
      <alignment horizontal="center" vertical="center" wrapText="1"/>
    </xf>
    <xf numFmtId="0" fontId="4" fillId="4" borderId="93" xfId="0" applyFont="1" applyFill="1" applyBorder="1" applyAlignment="1">
      <alignment horizontal="left" vertical="top" wrapText="1"/>
    </xf>
    <xf numFmtId="0" fontId="4" fillId="4" borderId="40" xfId="0" applyFont="1" applyFill="1" applyBorder="1" applyAlignment="1">
      <alignment horizontal="left" vertical="top" wrapText="1"/>
    </xf>
    <xf numFmtId="0" fontId="4" fillId="4" borderId="43" xfId="0" applyFont="1" applyFill="1" applyBorder="1" applyAlignment="1">
      <alignment horizontal="left" vertical="top" wrapText="1"/>
    </xf>
    <xf numFmtId="0" fontId="16" fillId="4" borderId="23"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70" xfId="0" applyFont="1" applyFill="1" applyBorder="1" applyAlignment="1">
      <alignment horizontal="center" vertical="center" wrapText="1"/>
    </xf>
    <xf numFmtId="0" fontId="4" fillId="4" borderId="72"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25" xfId="0" applyFont="1" applyFill="1" applyBorder="1" applyAlignment="1">
      <alignment horizontal="left" vertical="top" wrapText="1"/>
    </xf>
    <xf numFmtId="0" fontId="16" fillId="3" borderId="31"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6" fillId="3" borderId="38"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71" xfId="0" applyFont="1" applyFill="1" applyBorder="1" applyAlignment="1">
      <alignment horizontal="center" vertical="center" wrapText="1"/>
    </xf>
    <xf numFmtId="0" fontId="4" fillId="4" borderId="73" xfId="0" applyFont="1" applyFill="1" applyBorder="1" applyAlignment="1">
      <alignment horizontal="left" vertical="top" wrapText="1"/>
    </xf>
    <xf numFmtId="0" fontId="4" fillId="4" borderId="17" xfId="0" applyFont="1" applyFill="1" applyBorder="1" applyAlignment="1">
      <alignment horizontal="left" vertical="top" wrapText="1"/>
    </xf>
    <xf numFmtId="0" fontId="4" fillId="4" borderId="28" xfId="0" applyFont="1" applyFill="1" applyBorder="1" applyAlignment="1">
      <alignment horizontal="left" vertical="top" wrapText="1"/>
    </xf>
    <xf numFmtId="0" fontId="0" fillId="5" borderId="59" xfId="0" applyFill="1" applyBorder="1" applyAlignment="1">
      <alignment horizontal="left" vertical="top"/>
    </xf>
    <xf numFmtId="0" fontId="0" fillId="5" borderId="60" xfId="0" applyFill="1" applyBorder="1" applyAlignment="1">
      <alignment horizontal="left" vertical="top"/>
    </xf>
    <xf numFmtId="0" fontId="35" fillId="7" borderId="37" xfId="0" applyFont="1" applyFill="1" applyBorder="1" applyAlignment="1">
      <alignment horizontal="center" vertical="center"/>
    </xf>
    <xf numFmtId="0" fontId="35" fillId="7" borderId="38" xfId="0" applyFont="1" applyFill="1" applyBorder="1" applyAlignment="1">
      <alignment horizontal="center" vertical="center"/>
    </xf>
    <xf numFmtId="0" fontId="35" fillId="7" borderId="31" xfId="0" applyFont="1" applyFill="1" applyBorder="1" applyAlignment="1">
      <alignment horizontal="center" vertical="center"/>
    </xf>
    <xf numFmtId="0" fontId="7" fillId="3" borderId="31" xfId="0" applyFont="1" applyFill="1" applyBorder="1" applyAlignment="1">
      <alignment horizontal="center" vertical="center"/>
    </xf>
    <xf numFmtId="0" fontId="4" fillId="0" borderId="6"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45" xfId="2" applyBorder="1" applyAlignment="1" applyProtection="1">
      <alignment horizontal="left" vertical="top" wrapText="1"/>
      <protection locked="0"/>
    </xf>
    <xf numFmtId="0" fontId="4" fillId="0" borderId="13" xfId="2" applyBorder="1" applyAlignment="1" applyProtection="1">
      <alignment horizontal="left" vertical="top" wrapText="1"/>
      <protection locked="0"/>
    </xf>
    <xf numFmtId="0" fontId="4" fillId="0" borderId="46" xfId="2" applyBorder="1" applyAlignment="1" applyProtection="1">
      <alignment horizontal="left" vertical="top" wrapText="1"/>
      <protection locked="0"/>
    </xf>
    <xf numFmtId="0" fontId="6" fillId="3" borderId="44" xfId="2" applyFont="1" applyFill="1" applyBorder="1" applyAlignment="1">
      <alignment horizontal="center" vertical="top" wrapText="1"/>
    </xf>
    <xf numFmtId="0" fontId="6" fillId="3" borderId="14" xfId="2" applyFont="1" applyFill="1" applyBorder="1" applyAlignment="1">
      <alignment horizontal="center" vertical="top" wrapText="1"/>
    </xf>
    <xf numFmtId="0" fontId="6" fillId="3" borderId="25" xfId="2" applyFont="1" applyFill="1" applyBorder="1" applyAlignment="1">
      <alignment horizontal="center" vertical="top" wrapText="1"/>
    </xf>
    <xf numFmtId="0" fontId="4" fillId="0" borderId="48" xfId="2" applyBorder="1" applyAlignment="1">
      <alignment horizontal="left" vertical="top" wrapText="1"/>
    </xf>
    <xf numFmtId="0" fontId="4" fillId="0" borderId="9" xfId="2" applyBorder="1" applyAlignment="1">
      <alignment horizontal="left" vertical="top" wrapText="1"/>
    </xf>
    <xf numFmtId="0" fontId="4" fillId="0" borderId="21" xfId="2" applyBorder="1" applyAlignment="1">
      <alignment horizontal="left" vertical="top" wrapText="1"/>
    </xf>
    <xf numFmtId="0" fontId="10" fillId="0" borderId="42"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49" fontId="4" fillId="0" borderId="51" xfId="0" quotePrefix="1" applyNumberFormat="1" applyFont="1" applyBorder="1" applyAlignment="1">
      <alignment horizontal="center" vertical="center" wrapText="1"/>
    </xf>
    <xf numFmtId="49" fontId="4" fillId="0" borderId="54" xfId="0" quotePrefix="1" applyNumberFormat="1" applyFont="1" applyBorder="1" applyAlignment="1">
      <alignment horizontal="center" vertical="center" wrapText="1"/>
    </xf>
    <xf numFmtId="49" fontId="4" fillId="0" borderId="27" xfId="0" quotePrefix="1" applyNumberFormat="1" applyFont="1" applyBorder="1" applyAlignment="1">
      <alignment horizontal="center" vertical="center" wrapText="1"/>
    </xf>
    <xf numFmtId="0" fontId="10" fillId="0" borderId="16" xfId="0" applyFont="1" applyBorder="1" applyAlignment="1">
      <alignment horizontal="left" vertical="top" wrapText="1"/>
    </xf>
    <xf numFmtId="0" fontId="10" fillId="0" borderId="65" xfId="0" applyFont="1" applyBorder="1" applyAlignment="1">
      <alignment horizontal="left" vertical="top"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7" xfId="0" applyFont="1" applyBorder="1" applyAlignment="1">
      <alignment horizontal="center" vertical="center" wrapText="1"/>
    </xf>
    <xf numFmtId="166" fontId="4" fillId="0" borderId="75" xfId="0" applyNumberFormat="1" applyFont="1" applyBorder="1" applyAlignment="1" applyProtection="1">
      <alignment horizontal="center" vertical="center"/>
      <protection locked="0"/>
    </xf>
    <xf numFmtId="166" fontId="4" fillId="0" borderId="76" xfId="0" applyNumberFormat="1" applyFont="1" applyBorder="1" applyAlignment="1" applyProtection="1">
      <alignment horizontal="center" vertical="center"/>
      <protection locked="0"/>
    </xf>
    <xf numFmtId="49" fontId="4" fillId="0" borderId="75" xfId="0" applyNumberFormat="1" applyFont="1" applyBorder="1" applyAlignment="1" applyProtection="1">
      <alignment horizontal="left" vertical="center"/>
      <protection locked="0"/>
    </xf>
    <xf numFmtId="49" fontId="4" fillId="0" borderId="77" xfId="0" applyNumberFormat="1" applyFont="1" applyBorder="1" applyAlignment="1" applyProtection="1">
      <alignment horizontal="left" vertical="center"/>
      <protection locked="0"/>
    </xf>
    <xf numFmtId="166" fontId="38" fillId="0" borderId="81" xfId="0" applyNumberFormat="1" applyFont="1" applyBorder="1" applyAlignment="1">
      <alignment horizontal="center" vertical="center"/>
    </xf>
    <xf numFmtId="166" fontId="38" fillId="0" borderId="82" xfId="0" applyNumberFormat="1" applyFont="1" applyBorder="1" applyAlignment="1">
      <alignment horizontal="center" vertical="center"/>
    </xf>
    <xf numFmtId="166" fontId="38" fillId="0" borderId="9" xfId="0" applyNumberFormat="1" applyFont="1" applyBorder="1" applyAlignment="1">
      <alignment horizontal="center" vertical="center"/>
    </xf>
    <xf numFmtId="166" fontId="38" fillId="0" borderId="49" xfId="0" applyNumberFormat="1" applyFont="1" applyBorder="1" applyAlignment="1">
      <alignment horizontal="center" vertical="center"/>
    </xf>
    <xf numFmtId="0" fontId="6" fillId="0" borderId="22" xfId="0" applyFont="1" applyBorder="1" applyAlignment="1">
      <alignment horizontal="center" vertical="center"/>
    </xf>
    <xf numFmtId="0" fontId="6" fillId="0" borderId="17" xfId="0" applyFont="1" applyBorder="1" applyAlignment="1">
      <alignment horizontal="center" vertical="center"/>
    </xf>
    <xf numFmtId="0" fontId="10" fillId="0" borderId="20" xfId="0" applyFont="1" applyBorder="1" applyAlignment="1">
      <alignment horizontal="center" vertical="center"/>
    </xf>
    <xf numFmtId="0" fontId="10" fillId="0" borderId="10"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Alignment="1">
      <alignment horizontal="center" vertical="center"/>
    </xf>
    <xf numFmtId="0" fontId="10" fillId="0" borderId="19" xfId="0" applyFont="1" applyBorder="1" applyAlignment="1">
      <alignment horizontal="center" vertical="center"/>
    </xf>
    <xf numFmtId="0" fontId="10" fillId="0" borderId="9" xfId="0" applyFont="1" applyBorder="1" applyAlignment="1">
      <alignment horizontal="center" vertical="center"/>
    </xf>
    <xf numFmtId="0" fontId="6" fillId="0" borderId="8" xfId="0" applyFont="1" applyBorder="1" applyAlignment="1">
      <alignment horizontal="center" vertical="center"/>
    </xf>
    <xf numFmtId="0" fontId="6" fillId="0" borderId="26" xfId="0" applyFont="1" applyBorder="1" applyAlignment="1">
      <alignment horizontal="center" vertical="center"/>
    </xf>
    <xf numFmtId="0" fontId="4" fillId="0" borderId="1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3" xfId="0" applyFont="1" applyBorder="1" applyAlignment="1" applyProtection="1">
      <alignment horizontal="center" vertical="center" wrapText="1"/>
      <protection locked="0"/>
    </xf>
    <xf numFmtId="0" fontId="4" fillId="0" borderId="85" xfId="0" applyFont="1" applyBorder="1" applyAlignment="1" applyProtection="1">
      <alignment horizontal="center" vertical="center" wrapText="1"/>
      <protection locked="0"/>
    </xf>
    <xf numFmtId="0" fontId="4" fillId="0" borderId="103" xfId="0" applyFont="1" applyBorder="1" applyAlignment="1" applyProtection="1">
      <alignment horizontal="center" vertical="center" wrapText="1"/>
      <protection locked="0"/>
    </xf>
    <xf numFmtId="0" fontId="4" fillId="0" borderId="104" xfId="0" applyFont="1" applyBorder="1" applyAlignment="1" applyProtection="1">
      <alignment horizontal="center" vertical="center" wrapText="1"/>
      <protection locked="0"/>
    </xf>
    <xf numFmtId="0" fontId="6" fillId="0" borderId="17" xfId="0" applyFont="1" applyBorder="1" applyAlignment="1">
      <alignment horizontal="center" vertical="center" wrapText="1"/>
    </xf>
    <xf numFmtId="0" fontId="6" fillId="0" borderId="26" xfId="0" applyFont="1" applyBorder="1" applyAlignment="1">
      <alignment horizontal="center" vertical="center" wrapText="1"/>
    </xf>
    <xf numFmtId="166" fontId="4" fillId="0" borderId="84" xfId="0" applyNumberFormat="1" applyFont="1" applyBorder="1" applyAlignment="1" applyProtection="1">
      <alignment horizontal="center" vertical="center"/>
      <protection locked="0"/>
    </xf>
    <xf numFmtId="166" fontId="40" fillId="0" borderId="80" xfId="0" applyNumberFormat="1" applyFont="1" applyBorder="1" applyAlignment="1">
      <alignment horizontal="center" vertical="center" wrapText="1"/>
    </xf>
    <xf numFmtId="166" fontId="40" fillId="0" borderId="81" xfId="0" applyNumberFormat="1" applyFont="1" applyBorder="1" applyAlignment="1">
      <alignment horizontal="center" vertical="center" wrapText="1"/>
    </xf>
    <xf numFmtId="166" fontId="40" fillId="0" borderId="48" xfId="0" applyNumberFormat="1" applyFont="1" applyBorder="1" applyAlignment="1">
      <alignment horizontal="center" vertical="center" wrapText="1"/>
    </xf>
    <xf numFmtId="166" fontId="40" fillId="0" borderId="9" xfId="0" applyNumberFormat="1" applyFont="1" applyBorder="1" applyAlignment="1">
      <alignment horizontal="center" vertical="center" wrapText="1"/>
    </xf>
    <xf numFmtId="0" fontId="5" fillId="0" borderId="29" xfId="0" applyFont="1" applyBorder="1" applyAlignment="1">
      <alignment horizontal="left" vertical="top"/>
    </xf>
    <xf numFmtId="0" fontId="10" fillId="0" borderId="8" xfId="0" applyFont="1" applyBorder="1" applyAlignment="1">
      <alignment horizontal="left" vertical="center" wrapText="1"/>
    </xf>
    <xf numFmtId="0" fontId="10" fillId="0" borderId="17" xfId="0" applyFont="1" applyBorder="1" applyAlignment="1">
      <alignment horizontal="left" vertical="center" wrapText="1"/>
    </xf>
    <xf numFmtId="0" fontId="10" fillId="0" borderId="26" xfId="0" applyFont="1" applyBorder="1" applyAlignment="1">
      <alignment horizontal="left" vertical="center" wrapText="1"/>
    </xf>
    <xf numFmtId="0" fontId="5" fillId="0" borderId="11"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47" xfId="0" applyFont="1" applyBorder="1" applyAlignment="1" applyProtection="1">
      <alignment horizontal="left" vertical="top" wrapText="1"/>
      <protection locked="0"/>
    </xf>
    <xf numFmtId="0" fontId="16" fillId="0" borderId="24"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69" xfId="0" applyFont="1" applyBorder="1" applyAlignment="1">
      <alignment horizontal="center" vertical="center" wrapText="1"/>
    </xf>
    <xf numFmtId="0" fontId="8" fillId="0" borderId="45"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 fillId="0" borderId="46" xfId="0" applyFont="1" applyBorder="1" applyAlignment="1" applyProtection="1">
      <alignment horizontal="center" vertical="center" wrapText="1"/>
      <protection locked="0"/>
    </xf>
    <xf numFmtId="0" fontId="6" fillId="2" borderId="16" xfId="0" applyFont="1" applyFill="1" applyBorder="1" applyAlignment="1">
      <alignment horizontal="center"/>
    </xf>
    <xf numFmtId="0" fontId="6" fillId="2" borderId="0" xfId="0" applyFont="1" applyFill="1" applyAlignment="1">
      <alignment horizontal="center"/>
    </xf>
    <xf numFmtId="0" fontId="6" fillId="2" borderId="65" xfId="0" applyFont="1" applyFill="1" applyBorder="1" applyAlignment="1">
      <alignment horizontal="center"/>
    </xf>
    <xf numFmtId="166" fontId="4" fillId="0" borderId="8" xfId="0" applyNumberFormat="1" applyFont="1" applyBorder="1" applyAlignment="1" applyProtection="1">
      <alignment horizontal="center" vertical="center"/>
      <protection locked="0"/>
    </xf>
    <xf numFmtId="166" fontId="4" fillId="0" borderId="17" xfId="0" applyNumberFormat="1" applyFont="1" applyBorder="1" applyAlignment="1" applyProtection="1">
      <alignment horizontal="center" vertical="center"/>
      <protection locked="0"/>
    </xf>
    <xf numFmtId="166" fontId="4" fillId="0" borderId="26" xfId="0" applyNumberFormat="1" applyFont="1" applyBorder="1" applyAlignment="1" applyProtection="1">
      <alignment horizontal="center" vertical="center"/>
      <protection locked="0"/>
    </xf>
    <xf numFmtId="0" fontId="6" fillId="2" borderId="48" xfId="0" applyFont="1" applyFill="1" applyBorder="1" applyAlignment="1">
      <alignment horizontal="center"/>
    </xf>
    <xf numFmtId="0" fontId="6" fillId="2" borderId="9" xfId="0" applyFont="1" applyFill="1" applyBorder="1" applyAlignment="1">
      <alignment horizontal="center"/>
    </xf>
    <xf numFmtId="0" fontId="6" fillId="2" borderId="49" xfId="0" applyFont="1" applyFill="1" applyBorder="1" applyAlignment="1">
      <alignment horizontal="center"/>
    </xf>
    <xf numFmtId="0" fontId="4" fillId="0" borderId="8"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48" xfId="2" applyBorder="1" applyAlignment="1">
      <alignment horizontal="center" vertical="top" wrapText="1"/>
    </xf>
    <xf numFmtId="0" fontId="4" fillId="0" borderId="9" xfId="2" applyBorder="1" applyAlignment="1">
      <alignment horizontal="center" vertical="top" wrapText="1"/>
    </xf>
    <xf numFmtId="0" fontId="4" fillId="0" borderId="49" xfId="2" applyBorder="1" applyAlignment="1">
      <alignment horizontal="center" vertical="top" wrapText="1"/>
    </xf>
    <xf numFmtId="0" fontId="10" fillId="0" borderId="44" xfId="0" applyFont="1" applyBorder="1" applyAlignment="1">
      <alignment horizontal="left" vertical="center" wrapText="1"/>
    </xf>
    <xf numFmtId="0" fontId="10" fillId="0" borderId="14" xfId="0" applyFont="1" applyBorder="1" applyAlignment="1">
      <alignment horizontal="left" vertical="center" wrapText="1"/>
    </xf>
    <xf numFmtId="0" fontId="10" fillId="0" borderId="36" xfId="0" applyFont="1" applyBorder="1" applyAlignment="1">
      <alignment horizontal="left" vertical="center" wrapText="1"/>
    </xf>
    <xf numFmtId="0" fontId="6" fillId="3" borderId="15" xfId="0" applyFont="1" applyFill="1" applyBorder="1" applyAlignment="1">
      <alignment horizontal="left" vertical="center" wrapText="1"/>
    </xf>
    <xf numFmtId="0" fontId="6" fillId="3" borderId="29" xfId="0" applyFont="1" applyFill="1" applyBorder="1" applyAlignment="1">
      <alignment horizontal="left" vertical="center" wrapText="1"/>
    </xf>
    <xf numFmtId="0" fontId="10" fillId="0" borderId="39" xfId="0" applyFont="1" applyBorder="1" applyAlignment="1">
      <alignment horizontal="center" vertical="center"/>
    </xf>
    <xf numFmtId="0" fontId="10" fillId="0" borderId="41" xfId="0" applyFont="1" applyBorder="1" applyAlignment="1">
      <alignment horizontal="center" vertical="center"/>
    </xf>
    <xf numFmtId="0" fontId="4" fillId="0" borderId="51" xfId="0" applyFont="1" applyBorder="1" applyAlignment="1" applyProtection="1">
      <alignment horizontal="left" vertical="center" wrapText="1"/>
      <protection locked="0"/>
    </xf>
    <xf numFmtId="0" fontId="4" fillId="0" borderId="56" xfId="0" applyFont="1" applyBorder="1" applyAlignment="1" applyProtection="1">
      <alignment horizontal="left" vertical="center" wrapText="1"/>
      <protection locked="0"/>
    </xf>
    <xf numFmtId="0" fontId="12" fillId="0" borderId="23" xfId="0" applyFont="1" applyBorder="1" applyAlignment="1">
      <alignment horizontal="left" wrapText="1"/>
    </xf>
    <xf numFmtId="0" fontId="12" fillId="0" borderId="14" xfId="0" applyFont="1" applyBorder="1" applyAlignment="1">
      <alignment horizontal="left" wrapText="1"/>
    </xf>
    <xf numFmtId="0" fontId="23" fillId="0" borderId="14" xfId="0" applyFont="1" applyBorder="1" applyAlignment="1">
      <alignment horizontal="left"/>
    </xf>
    <xf numFmtId="0" fontId="23" fillId="0" borderId="25" xfId="0" applyFont="1" applyBorder="1" applyAlignment="1">
      <alignment horizontal="left"/>
    </xf>
    <xf numFmtId="0" fontId="16" fillId="3" borderId="31" xfId="0" applyFont="1" applyFill="1" applyBorder="1" applyAlignment="1">
      <alignment horizontal="left"/>
    </xf>
    <xf numFmtId="0" fontId="16" fillId="3" borderId="37" xfId="0" applyFont="1" applyFill="1" applyBorder="1" applyAlignment="1">
      <alignment horizontal="left"/>
    </xf>
    <xf numFmtId="0" fontId="16" fillId="3" borderId="38" xfId="0" applyFont="1" applyFill="1" applyBorder="1" applyAlignment="1">
      <alignment horizontal="left"/>
    </xf>
    <xf numFmtId="0" fontId="6" fillId="0" borderId="14" xfId="2" applyFont="1" applyBorder="1" applyAlignment="1">
      <alignment horizontal="left" vertical="center" wrapText="1"/>
    </xf>
    <xf numFmtId="0" fontId="6" fillId="0" borderId="25" xfId="2" applyFont="1" applyBorder="1" applyAlignment="1">
      <alignment horizontal="left" vertical="center" wrapText="1"/>
    </xf>
    <xf numFmtId="0" fontId="8" fillId="0" borderId="6" xfId="0" applyFont="1" applyBorder="1" applyAlignment="1">
      <alignment horizontal="left" vertical="center"/>
    </xf>
    <xf numFmtId="0" fontId="8" fillId="0" borderId="5" xfId="0" applyFont="1" applyBorder="1" applyAlignment="1">
      <alignment horizontal="left" vertical="center"/>
    </xf>
    <xf numFmtId="0" fontId="4" fillId="0" borderId="26" xfId="0" applyFont="1" applyBorder="1" applyAlignment="1" applyProtection="1">
      <alignment horizontal="center" vertical="center"/>
      <protection locked="0"/>
    </xf>
    <xf numFmtId="0" fontId="4" fillId="0" borderId="11" xfId="2" applyBorder="1" applyAlignment="1">
      <alignment horizontal="left" vertical="top" wrapText="1"/>
    </xf>
    <xf numFmtId="0" fontId="4" fillId="0" borderId="10" xfId="2" applyBorder="1" applyAlignment="1">
      <alignment horizontal="left" vertical="top" wrapText="1"/>
    </xf>
    <xf numFmtId="0" fontId="4" fillId="0" borderId="47" xfId="2" applyBorder="1" applyAlignment="1">
      <alignment horizontal="left" vertical="top" wrapText="1"/>
    </xf>
    <xf numFmtId="0" fontId="6" fillId="2" borderId="27" xfId="0" applyFont="1" applyFill="1" applyBorder="1" applyAlignment="1">
      <alignment horizontal="center"/>
    </xf>
    <xf numFmtId="0" fontId="6" fillId="2" borderId="33" xfId="0" applyFont="1" applyFill="1" applyBorder="1" applyAlignment="1">
      <alignment horizontal="center"/>
    </xf>
    <xf numFmtId="0" fontId="6" fillId="0" borderId="48" xfId="0" applyFont="1" applyBorder="1" applyAlignment="1">
      <alignment horizontal="center" vertical="center"/>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14" xfId="0" applyFont="1" applyBorder="1" applyAlignment="1">
      <alignment horizontal="center" vertical="center"/>
    </xf>
    <xf numFmtId="0" fontId="10" fillId="0" borderId="20" xfId="0" applyFont="1" applyBorder="1" applyAlignment="1">
      <alignment horizontal="left"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10" fillId="0" borderId="11" xfId="0" applyFont="1" applyBorder="1" applyAlignment="1">
      <alignment horizontal="left" vertical="center"/>
    </xf>
    <xf numFmtId="0" fontId="10" fillId="0" borderId="47" xfId="0" applyFont="1" applyBorder="1" applyAlignment="1">
      <alignment horizontal="left" vertical="center"/>
    </xf>
    <xf numFmtId="0" fontId="8" fillId="0" borderId="19"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8" fillId="0" borderId="48" xfId="0" applyFont="1" applyBorder="1" applyAlignment="1" applyProtection="1">
      <alignment horizontal="left" vertical="center"/>
      <protection locked="0"/>
    </xf>
    <xf numFmtId="0" fontId="8" fillId="0" borderId="49" xfId="0" applyFont="1" applyBorder="1" applyAlignment="1" applyProtection="1">
      <alignment horizontal="left" vertical="center"/>
      <protection locked="0"/>
    </xf>
    <xf numFmtId="0" fontId="10" fillId="0" borderId="28" xfId="0" applyFont="1" applyBorder="1" applyAlignment="1">
      <alignment horizontal="left" vertical="center" wrapText="1"/>
    </xf>
    <xf numFmtId="0" fontId="5" fillId="0" borderId="1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50" xfId="0" applyFont="1" applyBorder="1" applyAlignment="1" applyProtection="1">
      <alignment horizontal="left" vertical="top" wrapText="1"/>
      <protection locked="0"/>
    </xf>
    <xf numFmtId="0" fontId="4" fillId="0" borderId="42"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5" fillId="0" borderId="0" xfId="0" applyFont="1" applyAlignment="1">
      <alignment horizontal="left" vertical="top"/>
    </xf>
    <xf numFmtId="168" fontId="4" fillId="0" borderId="8" xfId="0" applyNumberFormat="1" applyFont="1" applyBorder="1" applyAlignment="1" applyProtection="1">
      <alignment horizontal="right" vertical="center"/>
      <protection locked="0"/>
    </xf>
    <xf numFmtId="168" fontId="4" fillId="0" borderId="17" xfId="0" applyNumberFormat="1" applyFont="1" applyBorder="1" applyAlignment="1" applyProtection="1">
      <alignment horizontal="right" vertical="center"/>
      <protection locked="0"/>
    </xf>
    <xf numFmtId="0" fontId="6" fillId="0" borderId="44" xfId="0" applyFont="1" applyBorder="1" applyAlignment="1">
      <alignment horizontal="center" vertical="center"/>
    </xf>
    <xf numFmtId="0" fontId="6" fillId="0" borderId="36" xfId="0" applyFont="1" applyBorder="1" applyAlignment="1">
      <alignment horizontal="center" vertical="center"/>
    </xf>
    <xf numFmtId="0" fontId="4" fillId="0" borderId="22" xfId="0" applyFont="1" applyBorder="1" applyAlignment="1">
      <alignment horizontal="left" vertical="center"/>
    </xf>
    <xf numFmtId="0" fontId="4" fillId="0" borderId="17" xfId="0" applyFont="1" applyBorder="1" applyAlignment="1">
      <alignment horizontal="left" vertical="center"/>
    </xf>
    <xf numFmtId="0" fontId="4" fillId="0" borderId="26" xfId="0" applyFont="1" applyBorder="1" applyAlignment="1">
      <alignment horizontal="left" vertical="center"/>
    </xf>
    <xf numFmtId="166" fontId="8" fillId="0" borderId="8" xfId="0" applyNumberFormat="1" applyFont="1" applyBorder="1" applyAlignment="1" applyProtection="1">
      <alignment horizontal="center" vertical="center"/>
      <protection locked="0"/>
    </xf>
    <xf numFmtId="166" fontId="9" fillId="0" borderId="17" xfId="0" applyNumberFormat="1" applyFont="1" applyBorder="1" applyAlignment="1" applyProtection="1">
      <alignment horizontal="center" vertical="center"/>
      <protection locked="0"/>
    </xf>
    <xf numFmtId="166" fontId="9" fillId="0" borderId="26" xfId="0" applyNumberFormat="1" applyFont="1" applyBorder="1" applyAlignment="1" applyProtection="1">
      <alignment horizontal="center" vertical="center"/>
      <protection locked="0"/>
    </xf>
    <xf numFmtId="0" fontId="4" fillId="0" borderId="20" xfId="0" applyFont="1" applyBorder="1" applyAlignment="1">
      <alignment horizontal="left" vertical="center"/>
    </xf>
    <xf numFmtId="0" fontId="6" fillId="0" borderId="14"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5" xfId="0" applyFont="1" applyBorder="1" applyAlignment="1">
      <alignment horizontal="center" vertical="center"/>
    </xf>
    <xf numFmtId="0" fontId="4" fillId="0" borderId="5"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0" fontId="4" fillId="0" borderId="94" xfId="0" applyFont="1" applyBorder="1" applyAlignment="1" applyProtection="1">
      <alignment horizontal="center" vertical="center" wrapText="1"/>
      <protection locked="0"/>
    </xf>
    <xf numFmtId="0" fontId="16" fillId="0" borderId="2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36" xfId="0" applyFont="1" applyBorder="1" applyAlignment="1">
      <alignment horizontal="center" vertical="center" wrapText="1"/>
    </xf>
    <xf numFmtId="0" fontId="8" fillId="0" borderId="44"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6" fillId="0" borderId="18" xfId="0" applyFont="1" applyBorder="1" applyAlignment="1">
      <alignment horizontal="left" wrapText="1"/>
    </xf>
    <xf numFmtId="0" fontId="6" fillId="0" borderId="0" xfId="0" applyFont="1" applyAlignment="1">
      <alignment horizontal="left"/>
    </xf>
    <xf numFmtId="0" fontId="6" fillId="0" borderId="50" xfId="0" applyFont="1" applyBorder="1" applyAlignment="1">
      <alignment horizontal="left"/>
    </xf>
    <xf numFmtId="0" fontId="6" fillId="2" borderId="48" xfId="0" applyFont="1" applyFill="1" applyBorder="1" applyAlignment="1">
      <alignment horizontal="center" wrapText="1"/>
    </xf>
    <xf numFmtId="0" fontId="6" fillId="2" borderId="9" xfId="0" applyFont="1" applyFill="1" applyBorder="1" applyAlignment="1">
      <alignment horizontal="center" wrapText="1"/>
    </xf>
    <xf numFmtId="0" fontId="4" fillId="0" borderId="45" xfId="2" applyBorder="1" applyAlignment="1">
      <alignment horizontal="left" vertical="top" wrapText="1"/>
    </xf>
    <xf numFmtId="0" fontId="4" fillId="0" borderId="13" xfId="2" applyBorder="1" applyAlignment="1">
      <alignment horizontal="left" vertical="top" wrapText="1"/>
    </xf>
    <xf numFmtId="0" fontId="4" fillId="0" borderId="69" xfId="2" applyBorder="1" applyAlignment="1">
      <alignment horizontal="left" vertical="top" wrapText="1"/>
    </xf>
    <xf numFmtId="16" fontId="4" fillId="0" borderId="51" xfId="2" quotePrefix="1" applyNumberFormat="1" applyBorder="1" applyAlignment="1">
      <alignment horizontal="center" vertical="top"/>
    </xf>
    <xf numFmtId="16" fontId="4" fillId="0" borderId="54" xfId="2" quotePrefix="1" applyNumberFormat="1" applyBorder="1" applyAlignment="1">
      <alignment horizontal="center" vertical="top"/>
    </xf>
    <xf numFmtId="0" fontId="4" fillId="0" borderId="27" xfId="2" applyBorder="1" applyAlignment="1">
      <alignment horizontal="center" vertical="top"/>
    </xf>
    <xf numFmtId="49" fontId="8" fillId="0" borderId="48" xfId="0" applyNumberFormat="1" applyFont="1" applyBorder="1" applyAlignment="1" applyProtection="1">
      <alignment horizontal="left" vertical="center"/>
      <protection locked="0"/>
    </xf>
    <xf numFmtId="49" fontId="8" fillId="0" borderId="9" xfId="0" applyNumberFormat="1" applyFont="1" applyBorder="1" applyAlignment="1" applyProtection="1">
      <alignment horizontal="left" vertical="center"/>
      <protection locked="0"/>
    </xf>
    <xf numFmtId="49" fontId="8" fillId="0" borderId="49" xfId="0" applyNumberFormat="1" applyFont="1" applyBorder="1" applyAlignment="1" applyProtection="1">
      <alignment horizontal="left" vertical="center"/>
      <protection locked="0"/>
    </xf>
    <xf numFmtId="0" fontId="9" fillId="0" borderId="20" xfId="0" applyFont="1" applyBorder="1" applyAlignment="1">
      <alignment horizontal="left"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4" fillId="0" borderId="11" xfId="0" applyFont="1" applyBorder="1" applyAlignment="1">
      <alignment horizontal="left" vertical="center"/>
    </xf>
    <xf numFmtId="0" fontId="4" fillId="0" borderId="48" xfId="2" applyBorder="1" applyAlignment="1" applyProtection="1">
      <alignment horizontal="left" vertical="top" wrapText="1"/>
      <protection locked="0"/>
    </xf>
    <xf numFmtId="0" fontId="4" fillId="0" borderId="9" xfId="2" applyBorder="1" applyAlignment="1" applyProtection="1">
      <alignment horizontal="left" vertical="top" wrapText="1"/>
      <protection locked="0"/>
    </xf>
    <xf numFmtId="0" fontId="4" fillId="0" borderId="49" xfId="2" applyBorder="1" applyAlignment="1" applyProtection="1">
      <alignment horizontal="left" vertical="top" wrapText="1"/>
      <protection locked="0"/>
    </xf>
    <xf numFmtId="0" fontId="4" fillId="0" borderId="19" xfId="0" applyFont="1" applyBorder="1" applyAlignment="1">
      <alignment horizontal="left" vertical="center"/>
    </xf>
    <xf numFmtId="0" fontId="4" fillId="0" borderId="9" xfId="0" applyFont="1" applyBorder="1" applyAlignment="1">
      <alignment horizontal="left" vertical="center"/>
    </xf>
    <xf numFmtId="0" fontId="4" fillId="0" borderId="21" xfId="0" applyFont="1" applyBorder="1" applyAlignment="1">
      <alignment horizontal="left" vertical="center"/>
    </xf>
    <xf numFmtId="0" fontId="4" fillId="0" borderId="4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24" fillId="0" borderId="19" xfId="0" applyFont="1" applyBorder="1" applyAlignment="1">
      <alignment horizontal="left" wrapText="1"/>
    </xf>
    <xf numFmtId="0" fontId="24" fillId="0" borderId="9" xfId="0" applyFont="1" applyBorder="1" applyAlignment="1">
      <alignment horizontal="left" wrapText="1"/>
    </xf>
    <xf numFmtId="0" fontId="24" fillId="0" borderId="49" xfId="0" applyFont="1" applyBorder="1" applyAlignment="1">
      <alignment horizontal="left" wrapText="1"/>
    </xf>
    <xf numFmtId="0" fontId="18" fillId="2" borderId="39" xfId="0" applyFont="1" applyFill="1" applyBorder="1" applyAlignment="1">
      <alignment horizontal="left" vertical="center" wrapText="1"/>
    </xf>
    <xf numFmtId="0" fontId="18" fillId="2" borderId="40" xfId="0" applyFont="1" applyFill="1" applyBorder="1" applyAlignment="1">
      <alignment horizontal="left" vertical="center" wrapText="1"/>
    </xf>
    <xf numFmtId="0" fontId="18" fillId="2" borderId="43" xfId="0" applyFont="1" applyFill="1" applyBorder="1" applyAlignment="1">
      <alignment horizontal="left" vertical="center" wrapText="1"/>
    </xf>
    <xf numFmtId="0" fontId="6" fillId="2" borderId="95" xfId="0" applyFont="1" applyFill="1" applyBorder="1" applyAlignment="1">
      <alignment horizontal="center"/>
    </xf>
    <xf numFmtId="0" fontId="6" fillId="2" borderId="19" xfId="0" applyFont="1" applyFill="1" applyBorder="1" applyAlignment="1">
      <alignment horizontal="center" wrapText="1"/>
    </xf>
    <xf numFmtId="0" fontId="6" fillId="2" borderId="21" xfId="0" applyFont="1" applyFill="1" applyBorder="1" applyAlignment="1">
      <alignment horizontal="center" wrapText="1"/>
    </xf>
    <xf numFmtId="0" fontId="17" fillId="0" borderId="31" xfId="0" applyFont="1" applyBorder="1" applyAlignment="1">
      <alignment horizontal="center" vertical="center"/>
    </xf>
    <xf numFmtId="0" fontId="17" fillId="0" borderId="37" xfId="0" applyFont="1" applyBorder="1" applyAlignment="1">
      <alignment horizontal="center" vertical="center"/>
    </xf>
    <xf numFmtId="0" fontId="6" fillId="0" borderId="33" xfId="0" applyFont="1" applyBorder="1" applyAlignment="1">
      <alignment horizontal="center"/>
    </xf>
    <xf numFmtId="0" fontId="6" fillId="0" borderId="95" xfId="0" applyFont="1" applyBorder="1" applyAlignment="1">
      <alignment horizontal="center"/>
    </xf>
    <xf numFmtId="0" fontId="8" fillId="0" borderId="5" xfId="0" applyFont="1" applyBorder="1" applyAlignment="1" applyProtection="1">
      <alignment horizontal="left"/>
      <protection locked="0"/>
    </xf>
    <xf numFmtId="49" fontId="8" fillId="0" borderId="5" xfId="0" applyNumberFormat="1" applyFont="1" applyBorder="1" applyAlignment="1" applyProtection="1">
      <alignment horizontal="left"/>
      <protection locked="0"/>
    </xf>
    <xf numFmtId="49" fontId="8" fillId="0" borderId="3" xfId="0" applyNumberFormat="1" applyFont="1" applyBorder="1" applyAlignment="1" applyProtection="1">
      <alignment horizontal="left"/>
      <protection locked="0"/>
    </xf>
    <xf numFmtId="0" fontId="4" fillId="0" borderId="6" xfId="0" applyFont="1" applyBorder="1" applyAlignment="1" applyProtection="1">
      <alignment horizontal="left"/>
      <protection locked="0"/>
    </xf>
    <xf numFmtId="0" fontId="0" fillId="0" borderId="5" xfId="0" applyBorder="1" applyAlignment="1" applyProtection="1">
      <alignment horizontal="left"/>
      <protection locked="0"/>
    </xf>
    <xf numFmtId="0" fontId="6" fillId="0" borderId="27" xfId="0" applyFont="1" applyBorder="1" applyAlignment="1">
      <alignment horizontal="center"/>
    </xf>
    <xf numFmtId="0" fontId="6" fillId="0" borderId="19" xfId="0" applyFont="1" applyBorder="1" applyAlignment="1">
      <alignment horizontal="left"/>
    </xf>
    <xf numFmtId="0" fontId="6" fillId="0" borderId="9" xfId="0" applyFont="1" applyBorder="1" applyAlignment="1">
      <alignment horizontal="left"/>
    </xf>
    <xf numFmtId="0" fontId="6" fillId="0" borderId="49" xfId="0" applyFont="1" applyBorder="1" applyAlignment="1">
      <alignment horizontal="left"/>
    </xf>
    <xf numFmtId="0" fontId="4" fillId="0" borderId="16" xfId="0" applyFont="1" applyBorder="1" applyAlignment="1">
      <alignment horizontal="left" vertical="center"/>
    </xf>
    <xf numFmtId="0" fontId="10" fillId="0" borderId="0" xfId="0" applyFont="1" applyAlignment="1">
      <alignment horizontal="left" vertical="center"/>
    </xf>
    <xf numFmtId="0" fontId="10" fillId="0" borderId="50" xfId="0" applyFont="1" applyBorder="1" applyAlignment="1">
      <alignment horizontal="left" vertical="center"/>
    </xf>
    <xf numFmtId="0" fontId="10" fillId="0" borderId="15" xfId="0" applyFont="1" applyBorder="1" applyAlignment="1">
      <alignment horizontal="left" vertical="center"/>
    </xf>
    <xf numFmtId="0" fontId="10" fillId="0" borderId="29" xfId="0" applyFont="1" applyBorder="1" applyAlignment="1">
      <alignment horizontal="left" vertical="center"/>
    </xf>
    <xf numFmtId="0" fontId="10" fillId="0" borderId="30" xfId="0" applyFont="1" applyBorder="1" applyAlignment="1">
      <alignment horizontal="left" vertical="center"/>
    </xf>
    <xf numFmtId="0" fontId="4" fillId="0" borderId="10" xfId="0" applyFont="1" applyBorder="1" applyAlignment="1">
      <alignment horizontal="left" vertical="center"/>
    </xf>
    <xf numFmtId="0" fontId="4" fillId="0" borderId="47" xfId="0" applyFont="1" applyBorder="1" applyAlignment="1">
      <alignment horizontal="left" vertical="center"/>
    </xf>
    <xf numFmtId="49" fontId="8" fillId="0" borderId="19" xfId="0" applyNumberFormat="1" applyFont="1" applyBorder="1" applyAlignment="1" applyProtection="1">
      <alignment horizontal="left" vertical="center"/>
      <protection locked="0"/>
    </xf>
    <xf numFmtId="49" fontId="8" fillId="0" borderId="21" xfId="0" applyNumberFormat="1" applyFont="1" applyBorder="1" applyAlignment="1" applyProtection="1">
      <alignment horizontal="left" vertical="center"/>
      <protection locked="0"/>
    </xf>
    <xf numFmtId="49" fontId="8" fillId="0" borderId="34" xfId="0" applyNumberFormat="1" applyFont="1" applyBorder="1" applyAlignment="1" applyProtection="1">
      <alignment horizontal="left"/>
      <protection locked="0"/>
    </xf>
    <xf numFmtId="49" fontId="8" fillId="0" borderId="4" xfId="0" applyNumberFormat="1" applyFont="1" applyBorder="1" applyAlignment="1" applyProtection="1">
      <alignment horizontal="left"/>
      <protection locked="0"/>
    </xf>
    <xf numFmtId="0" fontId="4" fillId="0" borderId="7" xfId="0" applyFont="1" applyBorder="1" applyAlignment="1" applyProtection="1">
      <alignment horizontal="left"/>
      <protection locked="0"/>
    </xf>
    <xf numFmtId="0" fontId="0" fillId="0" borderId="34" xfId="0" applyBorder="1" applyAlignment="1" applyProtection="1">
      <alignment horizontal="left"/>
      <protection locked="0"/>
    </xf>
    <xf numFmtId="0" fontId="8" fillId="0" borderId="34" xfId="0" applyFont="1" applyBorder="1" applyAlignment="1" applyProtection="1">
      <alignment horizontal="left"/>
      <protection locked="0"/>
    </xf>
    <xf numFmtId="49" fontId="8" fillId="0" borderId="24" xfId="0" applyNumberFormat="1" applyFont="1" applyBorder="1" applyAlignment="1" applyProtection="1">
      <alignment horizontal="left" vertical="center"/>
      <protection locked="0"/>
    </xf>
    <xf numFmtId="49" fontId="8" fillId="0" borderId="13" xfId="0" applyNumberFormat="1" applyFont="1" applyBorder="1" applyAlignment="1" applyProtection="1">
      <alignment horizontal="left" vertical="center"/>
      <protection locked="0"/>
    </xf>
    <xf numFmtId="49" fontId="8" fillId="0" borderId="46" xfId="0" applyNumberFormat="1" applyFont="1" applyBorder="1" applyAlignment="1" applyProtection="1">
      <alignment horizontal="left" vertical="center"/>
      <protection locked="0"/>
    </xf>
    <xf numFmtId="0" fontId="5" fillId="4" borderId="8"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26"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5" fillId="4" borderId="22" xfId="0" applyFont="1" applyFill="1" applyBorder="1" applyAlignment="1">
      <alignment horizontal="left" vertical="center" wrapText="1"/>
    </xf>
    <xf numFmtId="0" fontId="5" fillId="4" borderId="39" xfId="0" applyFont="1" applyFill="1" applyBorder="1" applyAlignment="1">
      <alignment horizontal="left" vertical="center" wrapText="1"/>
    </xf>
    <xf numFmtId="0" fontId="5" fillId="4" borderId="40" xfId="0" applyFont="1" applyFill="1" applyBorder="1" applyAlignment="1">
      <alignment horizontal="left" vertical="center" wrapText="1"/>
    </xf>
    <xf numFmtId="0" fontId="5" fillId="4" borderId="41"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42" xfId="0" applyFont="1" applyFill="1" applyBorder="1" applyAlignment="1">
      <alignment horizontal="left" vertical="center" wrapText="1"/>
    </xf>
    <xf numFmtId="0" fontId="5" fillId="4" borderId="43" xfId="0" applyFont="1" applyFill="1" applyBorder="1" applyAlignment="1">
      <alignment horizontal="left" vertical="center" wrapText="1"/>
    </xf>
    <xf numFmtId="0" fontId="26" fillId="4" borderId="44" xfId="0" applyFont="1" applyFill="1" applyBorder="1" applyAlignment="1">
      <alignment horizontal="center" vertical="center" wrapText="1"/>
    </xf>
    <xf numFmtId="0" fontId="26" fillId="4" borderId="36" xfId="0" applyFont="1" applyFill="1" applyBorder="1" applyAlignment="1">
      <alignment horizontal="center" vertical="center" wrapText="1"/>
    </xf>
    <xf numFmtId="0" fontId="5" fillId="4" borderId="8"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5" fillId="4" borderId="34" xfId="0" applyFont="1" applyFill="1" applyBorder="1" applyAlignment="1" applyProtection="1">
      <alignment horizontal="left" vertical="center"/>
      <protection locked="0"/>
    </xf>
    <xf numFmtId="0" fontId="5" fillId="4" borderId="3" xfId="0" applyFont="1" applyFill="1" applyBorder="1" applyAlignment="1">
      <alignment horizontal="left" vertical="center" wrapText="1"/>
    </xf>
    <xf numFmtId="0" fontId="5" fillId="4" borderId="5" xfId="0"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protection locked="0"/>
    </xf>
    <xf numFmtId="0" fontId="5" fillId="4" borderId="8" xfId="0" applyFont="1" applyFill="1" applyBorder="1" applyAlignment="1">
      <alignment horizontal="center" wrapText="1"/>
    </xf>
    <xf numFmtId="0" fontId="5" fillId="4" borderId="17" xfId="0" applyFont="1" applyFill="1" applyBorder="1" applyAlignment="1">
      <alignment horizontal="center" wrapText="1"/>
    </xf>
    <xf numFmtId="0" fontId="5" fillId="4" borderId="26" xfId="0" applyFont="1" applyFill="1" applyBorder="1" applyAlignment="1">
      <alignment horizontal="center" wrapText="1"/>
    </xf>
    <xf numFmtId="0" fontId="16" fillId="3" borderId="31" xfId="0" applyFont="1" applyFill="1" applyBorder="1" applyAlignment="1">
      <alignment horizontal="left" vertical="center"/>
    </xf>
    <xf numFmtId="0" fontId="16" fillId="3" borderId="37" xfId="0" applyFont="1" applyFill="1" applyBorder="1" applyAlignment="1">
      <alignment horizontal="left" vertical="center"/>
    </xf>
    <xf numFmtId="0" fontId="4" fillId="3" borderId="37" xfId="0" applyFont="1" applyFill="1" applyBorder="1" applyAlignment="1">
      <alignment horizontal="right" vertical="center"/>
    </xf>
    <xf numFmtId="0" fontId="4" fillId="3" borderId="38" xfId="0" applyFont="1" applyFill="1" applyBorder="1" applyAlignment="1">
      <alignment horizontal="right" vertical="center"/>
    </xf>
    <xf numFmtId="0" fontId="7" fillId="4" borderId="19" xfId="0" applyFont="1" applyFill="1" applyBorder="1" applyAlignment="1">
      <alignment horizontal="left"/>
    </xf>
    <xf numFmtId="0" fontId="7" fillId="4" borderId="9" xfId="0" applyFont="1" applyFill="1" applyBorder="1" applyAlignment="1">
      <alignment horizontal="left"/>
    </xf>
    <xf numFmtId="0" fontId="5" fillId="4" borderId="15" xfId="0" applyFont="1" applyFill="1" applyBorder="1" applyAlignment="1">
      <alignment horizontal="left" vertical="center" wrapText="1"/>
    </xf>
    <xf numFmtId="0" fontId="5" fillId="4" borderId="53"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5" fillId="4" borderId="21" xfId="0" applyFont="1" applyFill="1" applyBorder="1" applyAlignment="1">
      <alignment horizontal="left" vertical="center" wrapText="1"/>
    </xf>
    <xf numFmtId="0" fontId="5" fillId="4" borderId="52" xfId="0" applyFont="1" applyFill="1" applyBorder="1" applyAlignment="1" applyProtection="1">
      <alignment horizontal="left" vertical="center"/>
      <protection locked="0"/>
    </xf>
    <xf numFmtId="0" fontId="5" fillId="4" borderId="29" xfId="0" applyFont="1" applyFill="1" applyBorder="1" applyAlignment="1" applyProtection="1">
      <alignment horizontal="left" vertical="center"/>
      <protection locked="0"/>
    </xf>
    <xf numFmtId="0" fontId="5" fillId="4" borderId="53" xfId="0" applyFont="1" applyFill="1" applyBorder="1" applyAlignment="1" applyProtection="1">
      <alignment horizontal="left" vertical="center"/>
      <protection locked="0"/>
    </xf>
    <xf numFmtId="0" fontId="5" fillId="4" borderId="16" xfId="0" applyFont="1" applyFill="1" applyBorder="1" applyAlignment="1" applyProtection="1">
      <alignment horizontal="left" vertical="center"/>
      <protection locked="0"/>
    </xf>
    <xf numFmtId="0" fontId="5" fillId="4" borderId="0" xfId="0" applyFont="1" applyFill="1" applyAlignment="1" applyProtection="1">
      <alignment horizontal="left" vertical="center"/>
      <protection locked="0"/>
    </xf>
    <xf numFmtId="0" fontId="5" fillId="4" borderId="65" xfId="0" applyFont="1" applyFill="1" applyBorder="1" applyAlignment="1" applyProtection="1">
      <alignment horizontal="left" vertical="center"/>
      <protection locked="0"/>
    </xf>
    <xf numFmtId="0" fontId="26" fillId="4" borderId="8" xfId="0" applyFont="1" applyFill="1" applyBorder="1" applyAlignment="1">
      <alignment horizontal="center" vertical="center" wrapText="1"/>
    </xf>
    <xf numFmtId="0" fontId="26" fillId="4" borderId="17" xfId="0" applyFont="1" applyFill="1" applyBorder="1" applyAlignment="1">
      <alignment horizontal="center" vertical="center" wrapText="1"/>
    </xf>
    <xf numFmtId="0" fontId="26" fillId="4" borderId="28" xfId="0" applyFont="1" applyFill="1" applyBorder="1" applyAlignment="1">
      <alignment horizontal="center" vertical="center" wrapText="1"/>
    </xf>
    <xf numFmtId="0" fontId="5" fillId="4" borderId="22" xfId="0" applyFont="1" applyFill="1" applyBorder="1" applyAlignment="1">
      <alignment horizontal="left" vertical="center"/>
    </xf>
    <xf numFmtId="0" fontId="5" fillId="4" borderId="26" xfId="0" applyFont="1" applyFill="1" applyBorder="1" applyAlignment="1">
      <alignment horizontal="left" vertical="center"/>
    </xf>
    <xf numFmtId="0" fontId="5" fillId="4" borderId="8" xfId="0" applyFont="1" applyFill="1" applyBorder="1" applyAlignment="1" applyProtection="1">
      <alignment horizontal="left" vertical="center"/>
      <protection locked="0"/>
    </xf>
    <xf numFmtId="0" fontId="5" fillId="4" borderId="17" xfId="0" applyFont="1" applyFill="1" applyBorder="1" applyAlignment="1" applyProtection="1">
      <alignment horizontal="left" vertical="center"/>
      <protection locked="0"/>
    </xf>
    <xf numFmtId="0" fontId="5" fillId="4" borderId="48" xfId="0" applyFont="1" applyFill="1" applyBorder="1" applyAlignment="1" applyProtection="1">
      <alignment horizontal="left" vertical="center"/>
      <protection locked="0"/>
    </xf>
    <xf numFmtId="0" fontId="5" fillId="4" borderId="9" xfId="0" applyFont="1" applyFill="1" applyBorder="1" applyAlignment="1" applyProtection="1">
      <alignment horizontal="left" vertical="center"/>
      <protection locked="0"/>
    </xf>
    <xf numFmtId="0" fontId="5" fillId="4" borderId="49" xfId="0" applyFont="1" applyFill="1" applyBorder="1" applyAlignment="1" applyProtection="1">
      <alignment horizontal="left" vertical="center"/>
      <protection locked="0"/>
    </xf>
    <xf numFmtId="0" fontId="5" fillId="4" borderId="28" xfId="0" applyFont="1" applyFill="1" applyBorder="1" applyAlignment="1" applyProtection="1">
      <alignment horizontal="left" vertical="center"/>
      <protection locked="0"/>
    </xf>
    <xf numFmtId="0" fontId="7" fillId="4" borderId="20"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10" xfId="0" applyFont="1" applyFill="1" applyBorder="1" applyAlignment="1">
      <alignment horizontal="center" vertical="center" wrapText="1"/>
    </xf>
    <xf numFmtId="0" fontId="7" fillId="4" borderId="47" xfId="0" applyFont="1" applyFill="1" applyBorder="1" applyAlignment="1">
      <alignment horizontal="center" vertical="center" wrapText="1"/>
    </xf>
    <xf numFmtId="0" fontId="4" fillId="4" borderId="24" xfId="0" applyFont="1" applyFill="1" applyBorder="1" applyAlignment="1" applyProtection="1">
      <alignment horizontal="left" vertical="top" wrapText="1"/>
      <protection locked="0"/>
    </xf>
    <xf numFmtId="0" fontId="4" fillId="4" borderId="13" xfId="0" applyFont="1" applyFill="1" applyBorder="1" applyAlignment="1" applyProtection="1">
      <alignment horizontal="left" vertical="top" wrapText="1"/>
      <protection locked="0"/>
    </xf>
    <xf numFmtId="0" fontId="4" fillId="4" borderId="46" xfId="0" applyFont="1" applyFill="1" applyBorder="1" applyAlignment="1" applyProtection="1">
      <alignment horizontal="left" vertical="top" wrapText="1"/>
      <protection locked="0"/>
    </xf>
    <xf numFmtId="0" fontId="0" fillId="4" borderId="8" xfId="0" applyFill="1" applyBorder="1" applyAlignment="1">
      <alignment horizontal="left" vertical="center"/>
    </xf>
    <xf numFmtId="0" fontId="0" fillId="4" borderId="17" xfId="0" applyFill="1" applyBorder="1" applyAlignment="1">
      <alignment horizontal="left" vertical="center"/>
    </xf>
    <xf numFmtId="0" fontId="0" fillId="4" borderId="26" xfId="0" applyFill="1" applyBorder="1" applyAlignment="1">
      <alignment horizontal="left" vertical="center"/>
    </xf>
    <xf numFmtId="0" fontId="0" fillId="4" borderId="17" xfId="0" applyFill="1" applyBorder="1" applyAlignment="1" applyProtection="1">
      <alignment horizontal="left" vertical="center"/>
      <protection locked="0"/>
    </xf>
    <xf numFmtId="0" fontId="0" fillId="4" borderId="28" xfId="0" applyFill="1" applyBorder="1" applyAlignment="1" applyProtection="1">
      <alignment horizontal="left" vertical="center"/>
      <protection locked="0"/>
    </xf>
    <xf numFmtId="165" fontId="7" fillId="4" borderId="8" xfId="0" applyNumberFormat="1" applyFont="1" applyFill="1" applyBorder="1" applyAlignment="1" applyProtection="1">
      <alignment horizontal="center" vertical="center"/>
      <protection locked="0"/>
    </xf>
    <xf numFmtId="165" fontId="7" fillId="4" borderId="28" xfId="0" applyNumberFormat="1" applyFont="1" applyFill="1" applyBorder="1" applyAlignment="1" applyProtection="1">
      <alignment horizontal="center" vertical="center"/>
      <protection locked="0"/>
    </xf>
    <xf numFmtId="0" fontId="17" fillId="4" borderId="37" xfId="0" applyFont="1" applyFill="1" applyBorder="1" applyAlignment="1">
      <alignment horizontal="center" vertical="center"/>
    </xf>
    <xf numFmtId="0" fontId="0" fillId="4" borderId="37" xfId="0" applyFill="1" applyBorder="1" applyAlignment="1">
      <alignment horizontal="center"/>
    </xf>
    <xf numFmtId="0" fontId="0" fillId="4" borderId="38" xfId="0" applyFill="1" applyBorder="1" applyAlignment="1">
      <alignment horizontal="center"/>
    </xf>
    <xf numFmtId="0" fontId="16" fillId="3" borderId="38" xfId="0" applyFont="1" applyFill="1" applyBorder="1" applyAlignment="1">
      <alignment horizontal="left" vertical="center"/>
    </xf>
    <xf numFmtId="0" fontId="5" fillId="4" borderId="44"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4" borderId="36" xfId="0" applyFont="1" applyFill="1" applyBorder="1" applyAlignment="1">
      <alignment horizontal="left" vertical="center" wrapText="1"/>
    </xf>
    <xf numFmtId="0" fontId="5" fillId="4" borderId="25" xfId="0" applyFont="1" applyFill="1" applyBorder="1" applyAlignment="1">
      <alignment horizontal="left" vertical="center" wrapText="1"/>
    </xf>
    <xf numFmtId="0" fontId="33" fillId="4" borderId="24" xfId="0" applyFont="1" applyFill="1" applyBorder="1" applyAlignment="1">
      <alignment horizontal="center" vertical="center" wrapText="1" readingOrder="1"/>
    </xf>
    <xf numFmtId="0" fontId="33" fillId="4" borderId="13" xfId="0" applyFont="1" applyFill="1" applyBorder="1" applyAlignment="1">
      <alignment horizontal="center" vertical="center" wrapText="1" readingOrder="1"/>
    </xf>
    <xf numFmtId="0" fontId="33" fillId="4" borderId="46" xfId="0" applyFont="1" applyFill="1" applyBorder="1" applyAlignment="1">
      <alignment horizontal="center" vertical="center" wrapText="1" readingOrder="1"/>
    </xf>
    <xf numFmtId="0" fontId="16" fillId="3" borderId="15" xfId="0" applyFont="1" applyFill="1" applyBorder="1" applyAlignment="1">
      <alignment horizontal="left" vertical="center"/>
    </xf>
    <xf numFmtId="0" fontId="16" fillId="3" borderId="29" xfId="0" applyFont="1" applyFill="1" applyBorder="1" applyAlignment="1">
      <alignment horizontal="left" vertical="center"/>
    </xf>
    <xf numFmtId="0" fontId="16" fillId="3" borderId="30" xfId="0" applyFont="1" applyFill="1" applyBorder="1" applyAlignment="1">
      <alignment horizontal="left" vertical="center"/>
    </xf>
    <xf numFmtId="165" fontId="4" fillId="4" borderId="44" xfId="0" applyNumberFormat="1" applyFont="1" applyFill="1" applyBorder="1" applyAlignment="1" applyProtection="1">
      <alignment horizontal="center" vertical="center"/>
      <protection locked="0"/>
    </xf>
    <xf numFmtId="165" fontId="4" fillId="4" borderId="36" xfId="0" applyNumberFormat="1" applyFont="1" applyFill="1" applyBorder="1" applyAlignment="1" applyProtection="1">
      <alignment horizontal="center" vertical="center"/>
      <protection locked="0"/>
    </xf>
    <xf numFmtId="0" fontId="4" fillId="4" borderId="44"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0" fontId="4" fillId="4" borderId="36" xfId="0" applyFont="1" applyFill="1" applyBorder="1" applyAlignment="1" applyProtection="1">
      <alignment horizontal="center" vertical="center"/>
      <protection locked="0"/>
    </xf>
    <xf numFmtId="0" fontId="0" fillId="4" borderId="14" xfId="0" applyFill="1" applyBorder="1" applyAlignment="1">
      <alignment horizontal="right" vertical="center"/>
    </xf>
    <xf numFmtId="0" fontId="0" fillId="4" borderId="36" xfId="0" applyFill="1" applyBorder="1" applyAlignment="1">
      <alignment horizontal="right" vertical="center"/>
    </xf>
    <xf numFmtId="0" fontId="4" fillId="4" borderId="22"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0" fillId="4" borderId="8" xfId="0" applyFill="1" applyBorder="1" applyAlignment="1" applyProtection="1">
      <alignment horizontal="center" vertical="center"/>
      <protection locked="0"/>
    </xf>
    <xf numFmtId="0" fontId="0" fillId="4" borderId="26" xfId="0" applyFill="1" applyBorder="1" applyAlignment="1" applyProtection="1">
      <alignment horizontal="center" vertical="center"/>
      <protection locked="0"/>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5" fillId="4" borderId="16" xfId="0" applyFont="1" applyFill="1" applyBorder="1" applyAlignment="1" applyProtection="1">
      <alignment horizontal="center" vertical="center"/>
      <protection locked="0"/>
    </xf>
    <xf numFmtId="0" fontId="5" fillId="4" borderId="65" xfId="0" applyFont="1" applyFill="1" applyBorder="1" applyAlignment="1" applyProtection="1">
      <alignment horizontal="center" vertical="center"/>
      <protection locked="0"/>
    </xf>
    <xf numFmtId="0" fontId="5" fillId="4" borderId="48" xfId="0" applyFont="1" applyFill="1" applyBorder="1" applyAlignment="1" applyProtection="1">
      <alignment horizontal="center" vertical="center"/>
      <protection locked="0"/>
    </xf>
    <xf numFmtId="0" fontId="5" fillId="4" borderId="21" xfId="0" applyFont="1" applyFill="1" applyBorder="1" applyAlignment="1" applyProtection="1">
      <alignment horizontal="center" vertical="center"/>
      <protection locked="0"/>
    </xf>
    <xf numFmtId="0" fontId="5" fillId="4" borderId="48" xfId="0" applyFont="1" applyFill="1" applyBorder="1" applyAlignment="1" applyProtection="1">
      <alignment horizontal="center" vertical="center" wrapText="1"/>
      <protection locked="0"/>
    </xf>
    <xf numFmtId="0" fontId="5" fillId="4" borderId="9" xfId="0" applyFont="1" applyFill="1" applyBorder="1" applyAlignment="1" applyProtection="1">
      <alignment horizontal="center" vertical="center" wrapText="1"/>
      <protection locked="0"/>
    </xf>
    <xf numFmtId="0" fontId="5" fillId="4" borderId="21" xfId="0" applyFont="1" applyFill="1" applyBorder="1" applyAlignment="1" applyProtection="1">
      <alignment horizontal="center" vertical="center" wrapText="1"/>
      <protection locked="0"/>
    </xf>
    <xf numFmtId="0" fontId="5" fillId="4" borderId="51" xfId="0" applyFont="1" applyFill="1" applyBorder="1" applyAlignment="1">
      <alignment horizontal="left" vertical="center" wrapText="1"/>
    </xf>
    <xf numFmtId="0" fontId="5" fillId="4" borderId="54"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5" fillId="4" borderId="4" xfId="0" applyFont="1" applyFill="1" applyBorder="1" applyAlignment="1" applyProtection="1">
      <alignment horizontal="left" vertical="center"/>
      <protection locked="0"/>
    </xf>
    <xf numFmtId="0" fontId="5" fillId="4" borderId="35"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8" xfId="0" applyFont="1" applyFill="1" applyBorder="1" applyAlignment="1">
      <alignment horizontal="right" vertical="center"/>
    </xf>
    <xf numFmtId="0" fontId="5" fillId="4" borderId="26" xfId="0" applyFont="1" applyFill="1" applyBorder="1" applyAlignment="1">
      <alignment horizontal="right" vertical="center"/>
    </xf>
    <xf numFmtId="0" fontId="5" fillId="4" borderId="8" xfId="0" applyFont="1" applyFill="1" applyBorder="1" applyAlignment="1">
      <alignment wrapText="1"/>
    </xf>
    <xf numFmtId="0" fontId="5" fillId="4" borderId="17" xfId="0" applyFont="1" applyFill="1" applyBorder="1" applyAlignment="1">
      <alignment wrapText="1"/>
    </xf>
    <xf numFmtId="0" fontId="5" fillId="4" borderId="26" xfId="0" applyFont="1" applyFill="1" applyBorder="1" applyAlignment="1">
      <alignment wrapText="1"/>
    </xf>
    <xf numFmtId="0" fontId="5" fillId="4" borderId="8" xfId="0" applyFont="1" applyFill="1" applyBorder="1" applyAlignment="1">
      <alignment horizontal="left" vertical="center"/>
    </xf>
    <xf numFmtId="0" fontId="5" fillId="4" borderId="17" xfId="0" applyFont="1" applyFill="1" applyBorder="1" applyAlignment="1">
      <alignment horizontal="left" vertical="center"/>
    </xf>
    <xf numFmtId="0" fontId="5" fillId="4" borderId="28" xfId="0" applyFont="1" applyFill="1" applyBorder="1" applyAlignment="1">
      <alignment horizontal="left" vertical="center"/>
    </xf>
    <xf numFmtId="0" fontId="26" fillId="4" borderId="14" xfId="0" applyFont="1" applyFill="1" applyBorder="1" applyAlignment="1">
      <alignment horizontal="center" vertical="center" wrapText="1"/>
    </xf>
    <xf numFmtId="0" fontId="26" fillId="4" borderId="2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26" xfId="0" applyFont="1" applyFill="1" applyBorder="1" applyAlignment="1">
      <alignment horizontal="center" vertical="center" wrapText="1"/>
    </xf>
    <xf numFmtId="165" fontId="5" fillId="0" borderId="8" xfId="0" applyNumberFormat="1" applyFont="1" applyBorder="1" applyAlignment="1">
      <alignment horizontal="center" vertical="center" wrapText="1"/>
    </xf>
    <xf numFmtId="165" fontId="5" fillId="0" borderId="26" xfId="0" applyNumberFormat="1" applyFont="1" applyBorder="1" applyAlignment="1">
      <alignment horizontal="center" vertical="center" wrapText="1"/>
    </xf>
    <xf numFmtId="0" fontId="5" fillId="4" borderId="16" xfId="0" applyFont="1" applyFill="1" applyBorder="1" applyAlignment="1">
      <alignment horizontal="left" vertical="center" wrapText="1"/>
    </xf>
    <xf numFmtId="0" fontId="5" fillId="4" borderId="65" xfId="0" applyFont="1" applyFill="1" applyBorder="1" applyAlignment="1">
      <alignment horizontal="left" vertical="center" wrapText="1"/>
    </xf>
    <xf numFmtId="0" fontId="5" fillId="4" borderId="48" xfId="0" applyFont="1" applyFill="1" applyBorder="1" applyAlignment="1">
      <alignment horizontal="left" vertical="center" wrapText="1"/>
    </xf>
    <xf numFmtId="0" fontId="5" fillId="4" borderId="11" xfId="0" applyFont="1" applyFill="1" applyBorder="1" applyAlignment="1">
      <alignment horizontal="right" vertical="center" wrapText="1"/>
    </xf>
    <xf numFmtId="0" fontId="5" fillId="4" borderId="10" xfId="0" applyFont="1" applyFill="1" applyBorder="1" applyAlignment="1">
      <alignment horizontal="right" vertical="center" wrapText="1"/>
    </xf>
    <xf numFmtId="0" fontId="5" fillId="4" borderId="11" xfId="0" applyFont="1" applyFill="1" applyBorder="1" applyAlignment="1" applyProtection="1">
      <alignment horizontal="left" vertical="top" wrapText="1"/>
      <protection locked="0"/>
    </xf>
    <xf numFmtId="0" fontId="5" fillId="4" borderId="10" xfId="0" applyFont="1" applyFill="1" applyBorder="1" applyAlignment="1" applyProtection="1">
      <alignment horizontal="left" vertical="top" wrapText="1"/>
      <protection locked="0"/>
    </xf>
    <xf numFmtId="0" fontId="5" fillId="4" borderId="47" xfId="0" applyFont="1" applyFill="1" applyBorder="1" applyAlignment="1" applyProtection="1">
      <alignment horizontal="left" vertical="top" wrapText="1"/>
      <protection locked="0"/>
    </xf>
    <xf numFmtId="0" fontId="5" fillId="4" borderId="16" xfId="0" applyFont="1" applyFill="1" applyBorder="1" applyAlignment="1" applyProtection="1">
      <alignment horizontal="left" vertical="top" wrapText="1"/>
      <protection locked="0"/>
    </xf>
    <xf numFmtId="0" fontId="5" fillId="4" borderId="0" xfId="0" applyFont="1" applyFill="1" applyAlignment="1" applyProtection="1">
      <alignment horizontal="left" vertical="top" wrapText="1"/>
      <protection locked="0"/>
    </xf>
    <xf numFmtId="0" fontId="5" fillId="4" borderId="50" xfId="0" applyFont="1" applyFill="1" applyBorder="1" applyAlignment="1" applyProtection="1">
      <alignment horizontal="left" vertical="top" wrapText="1"/>
      <protection locked="0"/>
    </xf>
    <xf numFmtId="0" fontId="5" fillId="4" borderId="48" xfId="0" applyFont="1" applyFill="1" applyBorder="1" applyAlignment="1" applyProtection="1">
      <alignment horizontal="left" vertical="top" wrapText="1"/>
      <protection locked="0"/>
    </xf>
    <xf numFmtId="0" fontId="5" fillId="4" borderId="9" xfId="0" applyFont="1" applyFill="1" applyBorder="1" applyAlignment="1" applyProtection="1">
      <alignment horizontal="left" vertical="top" wrapText="1"/>
      <protection locked="0"/>
    </xf>
    <xf numFmtId="0" fontId="5" fillId="4" borderId="49" xfId="0" applyFont="1" applyFill="1" applyBorder="1" applyAlignment="1" applyProtection="1">
      <alignment horizontal="left" vertical="top" wrapText="1"/>
      <protection locked="0"/>
    </xf>
    <xf numFmtId="0" fontId="5" fillId="4" borderId="20" xfId="0" applyFont="1" applyFill="1" applyBorder="1" applyAlignment="1">
      <alignment horizontal="left" vertical="center" wrapText="1"/>
    </xf>
    <xf numFmtId="0" fontId="5" fillId="4" borderId="10"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4" borderId="8" xfId="0" applyFont="1" applyFill="1" applyBorder="1" applyAlignment="1" applyProtection="1">
      <alignment horizontal="left" vertical="center" wrapText="1"/>
      <protection locked="0"/>
    </xf>
    <xf numFmtId="0" fontId="5" fillId="4" borderId="17" xfId="0" applyFont="1" applyFill="1" applyBorder="1" applyAlignment="1" applyProtection="1">
      <alignment horizontal="left" vertical="center" wrapText="1"/>
      <protection locked="0"/>
    </xf>
    <xf numFmtId="0" fontId="5" fillId="4" borderId="28" xfId="0" applyFont="1" applyFill="1" applyBorder="1" applyAlignment="1" applyProtection="1">
      <alignment horizontal="left" vertical="center" wrapText="1"/>
      <protection locked="0"/>
    </xf>
    <xf numFmtId="0" fontId="0" fillId="4" borderId="42" xfId="0" applyFill="1" applyBorder="1" applyAlignment="1">
      <alignment horizontal="center"/>
    </xf>
    <xf numFmtId="0" fontId="0" fillId="4" borderId="40" xfId="0" applyFill="1" applyBorder="1" applyAlignment="1">
      <alignment horizontal="center"/>
    </xf>
    <xf numFmtId="0" fontId="0" fillId="4" borderId="43" xfId="0" applyFill="1" applyBorder="1" applyAlignment="1">
      <alignment horizontal="center"/>
    </xf>
    <xf numFmtId="0" fontId="7" fillId="4" borderId="23" xfId="0" applyFont="1" applyFill="1" applyBorder="1" applyAlignment="1">
      <alignment horizontal="left"/>
    </xf>
    <xf numFmtId="0" fontId="7" fillId="4" borderId="14" xfId="0" applyFont="1" applyFill="1" applyBorder="1" applyAlignment="1">
      <alignment horizontal="left"/>
    </xf>
    <xf numFmtId="0" fontId="7" fillId="4" borderId="8" xfId="0" applyFont="1" applyFill="1" applyBorder="1" applyAlignment="1" applyProtection="1">
      <alignment horizontal="left" vertical="center"/>
      <protection locked="0"/>
    </xf>
    <xf numFmtId="0" fontId="7" fillId="4" borderId="17" xfId="0" applyFont="1" applyFill="1" applyBorder="1" applyAlignment="1" applyProtection="1">
      <alignment horizontal="left" vertical="center"/>
      <protection locked="0"/>
    </xf>
    <xf numFmtId="0" fontId="7" fillId="4" borderId="26"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26" xfId="0" applyFont="1" applyFill="1" applyBorder="1" applyAlignment="1" applyProtection="1">
      <alignment horizontal="left" vertical="center"/>
      <protection locked="0"/>
    </xf>
    <xf numFmtId="0" fontId="5" fillId="4" borderId="24"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46" xfId="0" applyFont="1" applyFill="1" applyBorder="1" applyAlignment="1">
      <alignment horizontal="left" vertical="center" wrapText="1"/>
    </xf>
    <xf numFmtId="0" fontId="4" fillId="4" borderId="23" xfId="0" applyFont="1" applyFill="1" applyBorder="1" applyAlignment="1">
      <alignment horizontal="center" wrapText="1"/>
    </xf>
    <xf numFmtId="0" fontId="4" fillId="4" borderId="14" xfId="0" applyFont="1" applyFill="1" applyBorder="1" applyAlignment="1">
      <alignment horizontal="center" wrapText="1"/>
    </xf>
    <xf numFmtId="0" fontId="26" fillId="4" borderId="23" xfId="0" applyFont="1" applyFill="1" applyBorder="1" applyAlignment="1">
      <alignment horizontal="left" vertical="center" wrapText="1"/>
    </xf>
    <xf numFmtId="0" fontId="26" fillId="4" borderId="14" xfId="0" applyFont="1" applyFill="1" applyBorder="1" applyAlignment="1">
      <alignment horizontal="left" vertical="center" wrapText="1"/>
    </xf>
    <xf numFmtId="0" fontId="26" fillId="4" borderId="36" xfId="0" applyFont="1" applyFill="1" applyBorder="1" applyAlignment="1">
      <alignment horizontal="left" vertical="center" wrapText="1"/>
    </xf>
    <xf numFmtId="0" fontId="22" fillId="4" borderId="18" xfId="0" applyFont="1" applyFill="1" applyBorder="1" applyAlignment="1">
      <alignment horizontal="center" vertical="center"/>
    </xf>
    <xf numFmtId="0" fontId="22" fillId="4" borderId="0" xfId="0" applyFont="1" applyFill="1" applyAlignment="1">
      <alignment horizontal="center" vertical="center"/>
    </xf>
    <xf numFmtId="0" fontId="22" fillId="4" borderId="24" xfId="0" applyFont="1" applyFill="1" applyBorder="1" applyAlignment="1">
      <alignment horizontal="center" vertical="center"/>
    </xf>
    <xf numFmtId="0" fontId="22" fillId="4" borderId="13" xfId="0" applyFont="1" applyFill="1" applyBorder="1" applyAlignment="1">
      <alignment horizontal="center" vertical="center"/>
    </xf>
    <xf numFmtId="0" fontId="7" fillId="4" borderId="56"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5" fillId="4" borderId="28" xfId="0" applyFont="1" applyFill="1" applyBorder="1" applyAlignment="1" applyProtection="1">
      <alignment horizontal="center" vertical="center"/>
      <protection locked="0"/>
    </xf>
    <xf numFmtId="9" fontId="5" fillId="4" borderId="8" xfId="0" applyNumberFormat="1" applyFont="1" applyFill="1" applyBorder="1" applyAlignment="1">
      <alignment horizontal="left" vertical="center" wrapText="1"/>
    </xf>
    <xf numFmtId="9" fontId="5" fillId="4" borderId="17" xfId="0" applyNumberFormat="1" applyFont="1" applyFill="1" applyBorder="1" applyAlignment="1">
      <alignment horizontal="left" vertical="center" wrapText="1"/>
    </xf>
    <xf numFmtId="9" fontId="5" fillId="4" borderId="28" xfId="0" applyNumberFormat="1" applyFont="1" applyFill="1" applyBorder="1" applyAlignment="1">
      <alignment horizontal="left" vertical="center" wrapText="1"/>
    </xf>
    <xf numFmtId="0" fontId="5" fillId="4" borderId="8" xfId="0" applyFont="1" applyFill="1" applyBorder="1" applyAlignment="1">
      <alignment horizontal="left"/>
    </xf>
    <xf numFmtId="0" fontId="5" fillId="4" borderId="17" xfId="0" applyFont="1" applyFill="1" applyBorder="1" applyAlignment="1">
      <alignment horizontal="left"/>
    </xf>
    <xf numFmtId="0" fontId="5" fillId="4" borderId="26" xfId="0" applyFont="1" applyFill="1" applyBorder="1" applyAlignment="1">
      <alignment horizontal="left"/>
    </xf>
    <xf numFmtId="0" fontId="7" fillId="4" borderId="56" xfId="0" applyFont="1" applyFill="1" applyBorder="1" applyAlignment="1">
      <alignment horizontal="center" vertical="center"/>
    </xf>
    <xf numFmtId="0" fontId="7" fillId="4" borderId="33" xfId="0" applyFont="1" applyFill="1" applyBorder="1" applyAlignment="1">
      <alignment horizontal="center" vertical="center"/>
    </xf>
    <xf numFmtId="0" fontId="5" fillId="4" borderId="8" xfId="0" applyFont="1" applyFill="1" applyBorder="1" applyAlignment="1" applyProtection="1">
      <alignment horizontal="left" vertical="top" wrapText="1"/>
      <protection locked="0"/>
    </xf>
    <xf numFmtId="0" fontId="5" fillId="4" borderId="17" xfId="0" applyFont="1" applyFill="1" applyBorder="1" applyAlignment="1" applyProtection="1">
      <alignment horizontal="left" vertical="top" wrapText="1"/>
      <protection locked="0"/>
    </xf>
    <xf numFmtId="0" fontId="5" fillId="4" borderId="28" xfId="0" applyFont="1" applyFill="1" applyBorder="1" applyAlignment="1" applyProtection="1">
      <alignment horizontal="left" vertical="top" wrapText="1"/>
      <protection locked="0"/>
    </xf>
    <xf numFmtId="0" fontId="5" fillId="4" borderId="11" xfId="0" applyFont="1" applyFill="1" applyBorder="1" applyAlignment="1">
      <alignment horizontal="left" vertical="center" wrapText="1"/>
    </xf>
    <xf numFmtId="0" fontId="7" fillId="4" borderId="68" xfId="0" applyFont="1" applyFill="1" applyBorder="1" applyAlignment="1">
      <alignment horizontal="center" vertical="center" wrapText="1"/>
    </xf>
    <xf numFmtId="0" fontId="26" fillId="4" borderId="15" xfId="0" applyFont="1" applyFill="1" applyBorder="1" applyAlignment="1">
      <alignment horizontal="left" vertical="center" wrapText="1"/>
    </xf>
    <xf numFmtId="0" fontId="26" fillId="4" borderId="29" xfId="0" applyFont="1" applyFill="1" applyBorder="1" applyAlignment="1">
      <alignment horizontal="left" vertical="center" wrapText="1"/>
    </xf>
    <xf numFmtId="0" fontId="5" fillId="4" borderId="29"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2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5" fillId="4" borderId="46" xfId="0" applyFont="1" applyFill="1" applyBorder="1" applyAlignment="1" applyProtection="1">
      <alignment horizontal="left" vertical="top" wrapText="1"/>
      <protection locked="0"/>
    </xf>
    <xf numFmtId="0" fontId="44" fillId="4" borderId="42" xfId="0" applyFont="1" applyFill="1" applyBorder="1" applyAlignment="1">
      <alignment horizontal="center" vertical="center" wrapText="1"/>
    </xf>
    <xf numFmtId="0" fontId="44" fillId="4" borderId="40" xfId="0" applyFont="1" applyFill="1" applyBorder="1" applyAlignment="1">
      <alignment horizontal="center" vertical="center" wrapText="1"/>
    </xf>
    <xf numFmtId="0" fontId="44" fillId="4" borderId="43" xfId="0" applyFont="1" applyFill="1" applyBorder="1" applyAlignment="1">
      <alignment horizontal="center" vertical="center" wrapText="1"/>
    </xf>
    <xf numFmtId="0" fontId="26" fillId="4" borderId="42" xfId="0" applyFont="1" applyFill="1" applyBorder="1" applyAlignment="1">
      <alignment horizontal="center" vertical="center" wrapText="1"/>
    </xf>
    <xf numFmtId="0" fontId="26" fillId="4" borderId="40" xfId="0" applyFont="1" applyFill="1" applyBorder="1" applyAlignment="1">
      <alignment horizontal="center" vertical="center" wrapText="1"/>
    </xf>
    <xf numFmtId="0" fontId="26" fillId="4" borderId="22" xfId="0" applyFont="1" applyFill="1" applyBorder="1" applyAlignment="1">
      <alignment horizontal="left" vertical="center" wrapText="1"/>
    </xf>
    <xf numFmtId="0" fontId="26" fillId="4" borderId="26" xfId="0" applyFont="1" applyFill="1" applyBorder="1" applyAlignment="1">
      <alignment horizontal="left" vertical="center" wrapText="1"/>
    </xf>
    <xf numFmtId="0" fontId="44" fillId="4" borderId="44" xfId="0" applyFont="1" applyFill="1" applyBorder="1" applyAlignment="1">
      <alignment horizontal="center" vertical="center" wrapText="1"/>
    </xf>
    <xf numFmtId="0" fontId="44" fillId="4" borderId="14" xfId="0" applyFont="1" applyFill="1" applyBorder="1" applyAlignment="1">
      <alignment horizontal="center" vertical="center" wrapText="1"/>
    </xf>
    <xf numFmtId="0" fontId="44" fillId="4" borderId="25" xfId="0" applyFont="1" applyFill="1" applyBorder="1" applyAlignment="1">
      <alignment horizontal="center" vertical="center" wrapText="1"/>
    </xf>
    <xf numFmtId="0" fontId="5" fillId="0" borderId="8"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28" xfId="0" applyFont="1" applyBorder="1" applyAlignment="1" applyProtection="1">
      <alignment horizontal="left" vertical="center"/>
      <protection locked="0"/>
    </xf>
    <xf numFmtId="0" fontId="5" fillId="4" borderId="14" xfId="0" applyFont="1" applyFill="1" applyBorder="1" applyAlignment="1">
      <alignment horizontal="center"/>
    </xf>
    <xf numFmtId="0" fontId="5" fillId="4" borderId="25" xfId="0" applyFont="1" applyFill="1" applyBorder="1" applyAlignment="1">
      <alignment horizontal="center"/>
    </xf>
    <xf numFmtId="0" fontId="7" fillId="4" borderId="22" xfId="0" applyFont="1" applyFill="1" applyBorder="1" applyAlignment="1">
      <alignment horizontal="left" vertical="center" wrapText="1"/>
    </xf>
    <xf numFmtId="0" fontId="7" fillId="4" borderId="26" xfId="0" applyFont="1" applyFill="1" applyBorder="1" applyAlignment="1">
      <alignment horizontal="left" vertical="center" wrapText="1"/>
    </xf>
    <xf numFmtId="0" fontId="5" fillId="4" borderId="52" xfId="0" applyFont="1" applyFill="1" applyBorder="1" applyAlignment="1">
      <alignment horizontal="center" vertical="center"/>
    </xf>
    <xf numFmtId="0" fontId="5" fillId="4" borderId="29"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49" xfId="0" applyFont="1" applyFill="1" applyBorder="1" applyAlignment="1">
      <alignment horizontal="center" vertical="center"/>
    </xf>
    <xf numFmtId="0" fontId="8" fillId="0" borderId="31" xfId="0" applyFont="1" applyBorder="1" applyAlignment="1">
      <alignment horizontal="center" vertical="center"/>
    </xf>
    <xf numFmtId="0" fontId="8" fillId="0" borderId="38" xfId="0" applyFont="1" applyBorder="1" applyAlignment="1">
      <alignment horizontal="center" vertical="center"/>
    </xf>
    <xf numFmtId="0" fontId="0" fillId="0" borderId="0" xfId="0" applyAlignment="1">
      <alignment horizontal="right"/>
    </xf>
  </cellXfs>
  <cellStyles count="6">
    <cellStyle name="_x000a_mouse.drv=lm" xfId="4" xr:uid="{E5220E3A-750A-4025-BB0B-18C9CEEB16C1}"/>
    <cellStyle name="Normal 2" xfId="5" xr:uid="{F110CD23-C2AA-4566-B8A2-5D5C980345B6}"/>
    <cellStyle name="Prozent 2" xfId="1" xr:uid="{00000000-0005-0000-0000-000002000000}"/>
    <cellStyle name="Standard" xfId="0" builtinId="0"/>
    <cellStyle name="Standard 2" xfId="2" xr:uid="{20F9335A-7510-4BA1-A246-8C334E444573}"/>
    <cellStyle name="Standard 3" xfId="3" xr:uid="{FEF1E6C7-0DEE-43BC-B053-6A746CD4DAB3}"/>
  </cellStyles>
  <dxfs count="97">
    <dxf>
      <fill>
        <patternFill>
          <bgColor indexed="11"/>
        </patternFill>
      </fill>
    </dxf>
    <dxf>
      <font>
        <condense val="0"/>
        <extend val="0"/>
        <color indexed="9"/>
      </font>
      <fill>
        <patternFill>
          <bgColor indexed="10"/>
        </patternFill>
      </fill>
    </dxf>
    <dxf>
      <font>
        <condense val="0"/>
        <extend val="0"/>
        <color auto="1"/>
      </font>
      <fill>
        <patternFill>
          <bgColor indexed="11"/>
        </patternFill>
      </fill>
    </dxf>
    <dxf>
      <font>
        <condense val="0"/>
        <extend val="0"/>
        <color indexed="9"/>
      </font>
      <fill>
        <patternFill>
          <bgColor indexed="10"/>
        </patternFill>
      </fill>
    </dxf>
    <dxf>
      <fill>
        <patternFill>
          <bgColor indexed="11"/>
        </patternFill>
      </fill>
    </dxf>
    <dxf>
      <font>
        <condense val="0"/>
        <extend val="0"/>
        <color indexed="9"/>
      </font>
      <fill>
        <patternFill>
          <bgColor indexed="10"/>
        </patternFill>
      </fill>
    </dxf>
    <dxf>
      <font>
        <color theme="0"/>
      </font>
      <fill>
        <patternFill>
          <bgColor theme="0"/>
        </patternFill>
      </fill>
    </dxf>
    <dxf>
      <fill>
        <patternFill>
          <bgColor rgb="FFFFFF00"/>
        </patternFill>
      </fill>
    </dxf>
    <dxf>
      <fill>
        <patternFill>
          <bgColor rgb="FFFF0000"/>
        </patternFill>
      </fill>
    </dxf>
    <dxf>
      <fill>
        <patternFill>
          <bgColor rgb="FFFF0000"/>
        </patternFill>
      </fill>
    </dxf>
    <dxf>
      <font>
        <color theme="0"/>
      </font>
      <fill>
        <patternFill>
          <bgColor theme="0"/>
        </patternFill>
      </fill>
    </dxf>
    <dxf>
      <fill>
        <patternFill>
          <bgColor rgb="FFFFFF00"/>
        </patternFill>
      </fill>
    </dxf>
    <dxf>
      <fill>
        <patternFill>
          <bgColor rgb="FFFF0000"/>
        </patternFill>
      </fill>
    </dxf>
    <dxf>
      <font>
        <color theme="0"/>
      </font>
      <fill>
        <patternFill>
          <bgColor theme="0"/>
        </patternFill>
      </fill>
    </dxf>
    <dxf>
      <fill>
        <patternFill>
          <bgColor theme="3" tint="0.79998168889431442"/>
        </patternFill>
      </fill>
    </dxf>
    <dxf>
      <fill>
        <patternFill>
          <bgColor rgb="FF00B050"/>
        </patternFill>
      </fill>
    </dxf>
    <dxf>
      <fill>
        <patternFill>
          <bgColor rgb="FFFFFF00"/>
        </patternFill>
      </fill>
    </dxf>
    <dxf>
      <fill>
        <patternFill>
          <bgColor rgb="FFFF0000"/>
        </patternFill>
      </fill>
    </dxf>
    <dxf>
      <font>
        <color theme="0"/>
      </font>
      <fill>
        <patternFill>
          <bgColor theme="0"/>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ont>
        <color theme="0"/>
      </font>
      <fill>
        <patternFill>
          <bgColor theme="0"/>
        </patternFill>
      </fill>
    </dxf>
    <dxf>
      <fill>
        <patternFill>
          <bgColor rgb="FFFF0000"/>
        </patternFill>
      </fill>
    </dxf>
    <dxf>
      <fill>
        <patternFill>
          <bgColor rgb="FFFF0000"/>
        </patternFill>
      </fill>
    </dxf>
    <dxf>
      <font>
        <color theme="0"/>
      </font>
      <fill>
        <patternFill>
          <bgColor theme="0"/>
        </patternFill>
      </fill>
    </dxf>
    <dxf>
      <font>
        <color theme="0"/>
      </font>
      <fill>
        <patternFill>
          <bgColor theme="0"/>
        </patternFill>
      </fill>
    </dxf>
    <dxf>
      <fill>
        <patternFill>
          <bgColor theme="3" tint="0.79998168889431442"/>
        </patternFill>
      </fill>
    </dxf>
    <dxf>
      <fill>
        <patternFill>
          <bgColor theme="3" tint="0.79998168889431442"/>
        </patternFill>
      </fill>
    </dxf>
    <dxf>
      <fill>
        <patternFill>
          <bgColor rgb="FFFF0000"/>
        </patternFill>
      </fill>
    </dxf>
    <dxf>
      <font>
        <color theme="0"/>
      </font>
      <fill>
        <patternFill>
          <bgColor theme="0"/>
        </patternFill>
      </fill>
    </dxf>
    <dxf>
      <font>
        <color theme="0"/>
      </font>
      <fill>
        <patternFill>
          <bgColor theme="0"/>
        </patternFill>
      </fill>
    </dxf>
    <dxf>
      <font>
        <color auto="1"/>
      </font>
      <fill>
        <patternFill patternType="none">
          <bgColor auto="1"/>
        </patternFill>
      </fill>
    </dxf>
    <dxf>
      <fill>
        <patternFill>
          <bgColor theme="3" tint="0.79998168889431442"/>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rgb="FFFF0000"/>
        </patternFill>
      </fill>
    </dxf>
    <dxf>
      <font>
        <b/>
        <i val="0"/>
      </font>
      <fill>
        <patternFill>
          <bgColor rgb="FFFF0000"/>
        </patternFill>
      </fill>
    </dxf>
    <dxf>
      <font>
        <color theme="0"/>
      </font>
      <fill>
        <patternFill>
          <bgColor theme="0"/>
        </patternFill>
      </fill>
    </dxf>
    <dxf>
      <fill>
        <patternFill>
          <bgColor theme="3" tint="0.79998168889431442"/>
        </patternFill>
      </fill>
    </dxf>
    <dxf>
      <fill>
        <patternFill>
          <bgColor theme="3" tint="0.79998168889431442"/>
        </patternFill>
      </fill>
    </dxf>
    <dxf>
      <fill>
        <patternFill>
          <bgColor rgb="FFFF0000"/>
        </patternFill>
      </fill>
    </dxf>
    <dxf>
      <fill>
        <patternFill>
          <bgColor theme="3" tint="0.79998168889431442"/>
        </patternFill>
      </fill>
    </dxf>
    <dxf>
      <font>
        <b/>
        <i/>
        <u/>
        <color theme="0"/>
      </font>
      <fill>
        <patternFill>
          <bgColor rgb="FFFF0000"/>
        </patternFill>
      </fill>
    </dxf>
    <dxf>
      <font>
        <color theme="0"/>
      </font>
      <fill>
        <patternFill patternType="none">
          <bgColor auto="1"/>
        </patternFill>
      </fill>
    </dxf>
    <dxf>
      <fill>
        <patternFill>
          <bgColor theme="3" tint="0.79998168889431442"/>
        </patternFill>
      </fill>
    </dxf>
    <dxf>
      <fill>
        <patternFill>
          <bgColor theme="3" tint="0.79998168889431442"/>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theme="0"/>
        </patternFill>
      </fill>
      <border>
        <left/>
        <right/>
        <top/>
        <bottom/>
      </border>
    </dxf>
    <dxf>
      <fill>
        <patternFill>
          <bgColor theme="0" tint="-0.14996795556505021"/>
        </patternFill>
      </fill>
    </dxf>
    <dxf>
      <fill>
        <patternFill>
          <bgColor theme="0" tint="-0.14996795556505021"/>
        </patternFill>
      </fill>
    </dxf>
    <dxf>
      <font>
        <b/>
        <i val="0"/>
        <color auto="1"/>
      </font>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dxf>
    <dxf>
      <font>
        <color theme="0"/>
      </font>
    </dxf>
    <dxf>
      <font>
        <color theme="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patternType="none">
          <bgColor auto="1"/>
        </patternFill>
      </fill>
    </dxf>
    <dxf>
      <font>
        <color auto="1"/>
      </font>
      <fill>
        <patternFill patternType="none">
          <bgColor auto="1"/>
        </patternFill>
      </fill>
    </dxf>
    <dxf>
      <fill>
        <patternFill>
          <bgColor theme="0" tint="-0.1499679555650502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rgb="FFFF0000"/>
        </patternFill>
      </fill>
    </dxf>
    <dxf>
      <fill>
        <patternFill patternType="none">
          <bgColor auto="1"/>
        </patternFill>
      </fill>
    </dxf>
    <dxf>
      <fill>
        <patternFill>
          <bgColor theme="0" tint="-0.14996795556505021"/>
        </patternFill>
      </fill>
    </dxf>
    <dxf>
      <fill>
        <patternFill patternType="none">
          <bgColor auto="1"/>
        </patternFill>
      </fill>
    </dxf>
    <dxf>
      <font>
        <color auto="1"/>
      </font>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299658</xdr:colOff>
      <xdr:row>75</xdr:row>
      <xdr:rowOff>152399</xdr:rowOff>
    </xdr:to>
    <xdr:pic>
      <xdr:nvPicPr>
        <xdr:cNvPr id="2" name="Grafik 1">
          <a:extLst>
            <a:ext uri="{FF2B5EF4-FFF2-40B4-BE49-F238E27FC236}">
              <a16:creationId xmlns:a16="http://schemas.microsoft.com/office/drawing/2014/main" id="{C44E5386-2B32-41E1-9074-0A58372F9A46}"/>
            </a:ext>
          </a:extLst>
        </xdr:cNvPr>
        <xdr:cNvPicPr>
          <a:picLocks noChangeAspect="1"/>
        </xdr:cNvPicPr>
      </xdr:nvPicPr>
      <xdr:blipFill>
        <a:blip xmlns:r="http://schemas.openxmlformats.org/officeDocument/2006/relationships" r:embed="rId1"/>
        <a:stretch>
          <a:fillRect/>
        </a:stretch>
      </xdr:blipFill>
      <xdr:spPr>
        <a:xfrm>
          <a:off x="0" y="0"/>
          <a:ext cx="8681658" cy="12296774"/>
        </a:xfrm>
        <a:prstGeom prst="rect">
          <a:avLst/>
        </a:prstGeom>
      </xdr:spPr>
    </xdr:pic>
    <xdr:clientData/>
  </xdr:twoCellAnchor>
  <xdr:twoCellAnchor editAs="oneCell">
    <xdr:from>
      <xdr:col>0</xdr:col>
      <xdr:colOff>0</xdr:colOff>
      <xdr:row>76</xdr:row>
      <xdr:rowOff>28574</xdr:rowOff>
    </xdr:from>
    <xdr:to>
      <xdr:col>11</xdr:col>
      <xdr:colOff>307087</xdr:colOff>
      <xdr:row>150</xdr:row>
      <xdr:rowOff>114299</xdr:rowOff>
    </xdr:to>
    <xdr:pic>
      <xdr:nvPicPr>
        <xdr:cNvPr id="3" name="Grafik 2">
          <a:extLst>
            <a:ext uri="{FF2B5EF4-FFF2-40B4-BE49-F238E27FC236}">
              <a16:creationId xmlns:a16="http://schemas.microsoft.com/office/drawing/2014/main" id="{811368E8-D2A5-434B-9A34-9BBE415F91EB}"/>
            </a:ext>
          </a:extLst>
        </xdr:cNvPr>
        <xdr:cNvPicPr>
          <a:picLocks noChangeAspect="1"/>
        </xdr:cNvPicPr>
      </xdr:nvPicPr>
      <xdr:blipFill>
        <a:blip xmlns:r="http://schemas.openxmlformats.org/officeDocument/2006/relationships" r:embed="rId2"/>
        <a:stretch>
          <a:fillRect/>
        </a:stretch>
      </xdr:blipFill>
      <xdr:spPr>
        <a:xfrm>
          <a:off x="0" y="12334874"/>
          <a:ext cx="8689087" cy="12068175"/>
        </a:xfrm>
        <a:prstGeom prst="rect">
          <a:avLst/>
        </a:prstGeom>
      </xdr:spPr>
    </xdr:pic>
    <xdr:clientData/>
  </xdr:twoCellAnchor>
  <xdr:twoCellAnchor editAs="oneCell">
    <xdr:from>
      <xdr:col>11</xdr:col>
      <xdr:colOff>371474</xdr:colOff>
      <xdr:row>0</xdr:row>
      <xdr:rowOff>0</xdr:rowOff>
    </xdr:from>
    <xdr:to>
      <xdr:col>23</xdr:col>
      <xdr:colOff>19049</xdr:colOff>
      <xdr:row>75</xdr:row>
      <xdr:rowOff>139339</xdr:rowOff>
    </xdr:to>
    <xdr:pic>
      <xdr:nvPicPr>
        <xdr:cNvPr id="4" name="Grafik 3">
          <a:extLst>
            <a:ext uri="{FF2B5EF4-FFF2-40B4-BE49-F238E27FC236}">
              <a16:creationId xmlns:a16="http://schemas.microsoft.com/office/drawing/2014/main" id="{5C295A74-3C6C-4E28-9493-364EDCB75E45}"/>
            </a:ext>
          </a:extLst>
        </xdr:cNvPr>
        <xdr:cNvPicPr>
          <a:picLocks noChangeAspect="1"/>
        </xdr:cNvPicPr>
      </xdr:nvPicPr>
      <xdr:blipFill>
        <a:blip xmlns:r="http://schemas.openxmlformats.org/officeDocument/2006/relationships" r:embed="rId3"/>
        <a:stretch>
          <a:fillRect/>
        </a:stretch>
      </xdr:blipFill>
      <xdr:spPr>
        <a:xfrm>
          <a:off x="8753474" y="0"/>
          <a:ext cx="8867775" cy="12283714"/>
        </a:xfrm>
        <a:prstGeom prst="rect">
          <a:avLst/>
        </a:prstGeom>
      </xdr:spPr>
    </xdr:pic>
    <xdr:clientData/>
  </xdr:twoCellAnchor>
  <xdr:twoCellAnchor editAs="oneCell">
    <xdr:from>
      <xdr:col>11</xdr:col>
      <xdr:colOff>381001</xdr:colOff>
      <xdr:row>76</xdr:row>
      <xdr:rowOff>19050</xdr:rowOff>
    </xdr:from>
    <xdr:to>
      <xdr:col>23</xdr:col>
      <xdr:colOff>1</xdr:colOff>
      <xdr:row>150</xdr:row>
      <xdr:rowOff>110160</xdr:rowOff>
    </xdr:to>
    <xdr:pic>
      <xdr:nvPicPr>
        <xdr:cNvPr id="5" name="Grafik 4">
          <a:extLst>
            <a:ext uri="{FF2B5EF4-FFF2-40B4-BE49-F238E27FC236}">
              <a16:creationId xmlns:a16="http://schemas.microsoft.com/office/drawing/2014/main" id="{E3021D12-90AD-43A6-A3EA-591390D730A1}"/>
            </a:ext>
          </a:extLst>
        </xdr:cNvPr>
        <xdr:cNvPicPr>
          <a:picLocks noChangeAspect="1"/>
        </xdr:cNvPicPr>
      </xdr:nvPicPr>
      <xdr:blipFill>
        <a:blip xmlns:r="http://schemas.openxmlformats.org/officeDocument/2006/relationships" r:embed="rId4"/>
        <a:stretch>
          <a:fillRect/>
        </a:stretch>
      </xdr:blipFill>
      <xdr:spPr>
        <a:xfrm>
          <a:off x="8763001" y="12325350"/>
          <a:ext cx="8839200" cy="120735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123827</xdr:colOff>
      <xdr:row>3</xdr:row>
      <xdr:rowOff>0</xdr:rowOff>
    </xdr:from>
    <xdr:ext cx="504824" cy="142875"/>
    <xdr:sp macro="" textlink="">
      <xdr:nvSpPr>
        <xdr:cNvPr id="5" name="Textfeld 4">
          <a:extLst>
            <a:ext uri="{FF2B5EF4-FFF2-40B4-BE49-F238E27FC236}">
              <a16:creationId xmlns:a16="http://schemas.microsoft.com/office/drawing/2014/main" id="{00000000-0008-0000-0100-000005000000}"/>
            </a:ext>
          </a:extLst>
        </xdr:cNvPr>
        <xdr:cNvSpPr txBox="1"/>
      </xdr:nvSpPr>
      <xdr:spPr>
        <a:xfrm>
          <a:off x="123827" y="504825"/>
          <a:ext cx="504824" cy="142875"/>
        </a:xfrm>
        <a:prstGeom prst="rect">
          <a:avLst/>
        </a:prstGeom>
        <a:solidFill>
          <a:schemeClr val="bg1">
            <a:lumMod val="75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oneCellAnchor>
    <xdr:from>
      <xdr:col>2</xdr:col>
      <xdr:colOff>114300</xdr:colOff>
      <xdr:row>1</xdr:row>
      <xdr:rowOff>19050</xdr:rowOff>
    </xdr:from>
    <xdr:ext cx="504824" cy="142875"/>
    <xdr:sp macro="" textlink="">
      <xdr:nvSpPr>
        <xdr:cNvPr id="6" name="Textfeld 5">
          <a:extLst>
            <a:ext uri="{FF2B5EF4-FFF2-40B4-BE49-F238E27FC236}">
              <a16:creationId xmlns:a16="http://schemas.microsoft.com/office/drawing/2014/main" id="{00000000-0008-0000-0100-000006000000}"/>
            </a:ext>
          </a:extLst>
        </xdr:cNvPr>
        <xdr:cNvSpPr txBox="1"/>
      </xdr:nvSpPr>
      <xdr:spPr>
        <a:xfrm>
          <a:off x="114300" y="190500"/>
          <a:ext cx="504824" cy="142875"/>
        </a:xfrm>
        <a:prstGeom prst="rect">
          <a:avLst/>
        </a:prstGeom>
        <a:solidFill>
          <a:schemeClr val="tx2">
            <a:lumMod val="20000"/>
            <a:lumOff val="80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oneCellAnchor>
    <xdr:from>
      <xdr:col>14</xdr:col>
      <xdr:colOff>123827</xdr:colOff>
      <xdr:row>3</xdr:row>
      <xdr:rowOff>0</xdr:rowOff>
    </xdr:from>
    <xdr:ext cx="504824" cy="142875"/>
    <xdr:sp macro="" textlink="">
      <xdr:nvSpPr>
        <xdr:cNvPr id="9" name="Textfeld 8">
          <a:extLst>
            <a:ext uri="{FF2B5EF4-FFF2-40B4-BE49-F238E27FC236}">
              <a16:creationId xmlns:a16="http://schemas.microsoft.com/office/drawing/2014/main" id="{00000000-0008-0000-0100-000009000000}"/>
            </a:ext>
          </a:extLst>
        </xdr:cNvPr>
        <xdr:cNvSpPr txBox="1"/>
      </xdr:nvSpPr>
      <xdr:spPr>
        <a:xfrm>
          <a:off x="885827" y="1114425"/>
          <a:ext cx="504824" cy="142875"/>
        </a:xfrm>
        <a:prstGeom prst="rect">
          <a:avLst/>
        </a:prstGeom>
        <a:solidFill>
          <a:schemeClr val="bg1">
            <a:lumMod val="75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oneCellAnchor>
    <xdr:from>
      <xdr:col>14</xdr:col>
      <xdr:colOff>114300</xdr:colOff>
      <xdr:row>1</xdr:row>
      <xdr:rowOff>19050</xdr:rowOff>
    </xdr:from>
    <xdr:ext cx="504824" cy="142875"/>
    <xdr:sp macro="" textlink="">
      <xdr:nvSpPr>
        <xdr:cNvPr id="10" name="Textfeld 9">
          <a:extLst>
            <a:ext uri="{FF2B5EF4-FFF2-40B4-BE49-F238E27FC236}">
              <a16:creationId xmlns:a16="http://schemas.microsoft.com/office/drawing/2014/main" id="{00000000-0008-0000-0100-00000A000000}"/>
            </a:ext>
          </a:extLst>
        </xdr:cNvPr>
        <xdr:cNvSpPr txBox="1"/>
      </xdr:nvSpPr>
      <xdr:spPr>
        <a:xfrm>
          <a:off x="876300" y="771525"/>
          <a:ext cx="504824" cy="142875"/>
        </a:xfrm>
        <a:prstGeom prst="rect">
          <a:avLst/>
        </a:prstGeom>
        <a:solidFill>
          <a:schemeClr val="tx2">
            <a:lumMod val="20000"/>
            <a:lumOff val="80000"/>
          </a:schemeClr>
        </a:solidFill>
        <a:ln>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t">
          <a:noAutofit/>
        </a:bodyPr>
        <a:lstStyle/>
        <a:p>
          <a:endParaRPr lang="de-DE" sz="1100">
            <a:solidFill>
              <a:sysClr val="windowText" lastClr="000000"/>
            </a:solidFill>
            <a:latin typeface="+mn-lt"/>
            <a:ea typeface="+mn-ea"/>
            <a:cs typeface="+mn-cs"/>
          </a:endParaRPr>
        </a:p>
      </xdr:txBody>
    </xdr:sp>
    <xdr:clientData/>
  </xdr:oneCellAnchor>
  <xdr:twoCellAnchor editAs="oneCell">
    <xdr:from>
      <xdr:col>10</xdr:col>
      <xdr:colOff>114300</xdr:colOff>
      <xdr:row>0</xdr:row>
      <xdr:rowOff>180975</xdr:rowOff>
    </xdr:from>
    <xdr:to>
      <xdr:col>11</xdr:col>
      <xdr:colOff>745016</xdr:colOff>
      <xdr:row>0</xdr:row>
      <xdr:rowOff>548439</xdr:rowOff>
    </xdr:to>
    <xdr:pic>
      <xdr:nvPicPr>
        <xdr:cNvPr id="8" name="Picture 2">
          <a:extLst>
            <a:ext uri="{FF2B5EF4-FFF2-40B4-BE49-F238E27FC236}">
              <a16:creationId xmlns:a16="http://schemas.microsoft.com/office/drawing/2014/main" id="{1486ABA9-6958-4C54-B8A2-BBD78A5620E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7286625" y="180975"/>
          <a:ext cx="1392716" cy="367464"/>
        </a:xfrm>
        <a:prstGeom prst="rect">
          <a:avLst/>
        </a:prstGeom>
      </xdr:spPr>
    </xdr:pic>
    <xdr:clientData/>
  </xdr:twoCellAnchor>
  <xdr:twoCellAnchor editAs="oneCell">
    <xdr:from>
      <xdr:col>22</xdr:col>
      <xdr:colOff>161925</xdr:colOff>
      <xdr:row>0</xdr:row>
      <xdr:rowOff>190500</xdr:rowOff>
    </xdr:from>
    <xdr:to>
      <xdr:col>23</xdr:col>
      <xdr:colOff>792641</xdr:colOff>
      <xdr:row>0</xdr:row>
      <xdr:rowOff>557964</xdr:rowOff>
    </xdr:to>
    <xdr:pic>
      <xdr:nvPicPr>
        <xdr:cNvPr id="11" name="Picture 2">
          <a:extLst>
            <a:ext uri="{FF2B5EF4-FFF2-40B4-BE49-F238E27FC236}">
              <a16:creationId xmlns:a16="http://schemas.microsoft.com/office/drawing/2014/main" id="{DE5B688B-8E80-4D8C-A406-2CC0A882A40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15649575" y="190500"/>
          <a:ext cx="1392716" cy="3674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438173</xdr:colOff>
      <xdr:row>0</xdr:row>
      <xdr:rowOff>78707</xdr:rowOff>
    </xdr:from>
    <xdr:to>
      <xdr:col>10</xdr:col>
      <xdr:colOff>1219701</xdr:colOff>
      <xdr:row>0</xdr:row>
      <xdr:rowOff>446171</xdr:rowOff>
    </xdr:to>
    <xdr:pic>
      <xdr:nvPicPr>
        <xdr:cNvPr id="7" name="Picture 2">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6238397" y="78707"/>
          <a:ext cx="1393133" cy="3674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150813</xdr:colOff>
      <xdr:row>0</xdr:row>
      <xdr:rowOff>87313</xdr:rowOff>
    </xdr:from>
    <xdr:to>
      <xdr:col>13</xdr:col>
      <xdr:colOff>368779</xdr:colOff>
      <xdr:row>0</xdr:row>
      <xdr:rowOff>454777</xdr:rowOff>
    </xdr:to>
    <xdr:pic>
      <xdr:nvPicPr>
        <xdr:cNvPr id="3" name="Picture 2">
          <a:extLst>
            <a:ext uri="{FF2B5EF4-FFF2-40B4-BE49-F238E27FC236}">
              <a16:creationId xmlns:a16="http://schemas.microsoft.com/office/drawing/2014/main" id="{7C60CEBD-4562-4B7E-824F-0D32F032495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0265"/>
        <a:stretch/>
      </xdr:blipFill>
      <xdr:spPr>
        <a:xfrm>
          <a:off x="5707063" y="87313"/>
          <a:ext cx="1392716" cy="36746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9C2E4-5E85-4487-998B-108531FBB6D7}">
  <sheetPr>
    <pageSetUpPr fitToPage="1"/>
  </sheetPr>
  <dimension ref="A1"/>
  <sheetViews>
    <sheetView tabSelected="1" zoomScaleNormal="100" workbookViewId="0">
      <selection activeCell="B282" sqref="B282"/>
    </sheetView>
  </sheetViews>
  <sheetFormatPr baseColWidth="10" defaultColWidth="11.42578125" defaultRowHeight="12.75"/>
  <cols>
    <col min="1" max="22" width="11.42578125" style="96"/>
    <col min="23" max="23" width="12.5703125" style="96" customWidth="1"/>
    <col min="24" max="16384" width="11.42578125" style="96"/>
  </cols>
  <sheetData/>
  <sheetProtection sheet="1" objects="1" scenarios="1" selectLockedCells="1" selectUnlockedCells="1"/>
  <pageMargins left="0.70866141732283472" right="0.70866141732283472" top="0.78740157480314965" bottom="0.78740157480314965" header="0.31496062992125984" footer="0.31496062992125984"/>
  <pageSetup paperSize="9" scale="32" fitToHeight="2" orientation="portrait" r:id="rId1"/>
  <headerFooter>
    <oddFooter>&amp;L&amp;6T.PU.082 Supplier Self Assessment and Approval Form / V1.5 / T.Schneider / 30.10.2023&amp;C&amp;1#&amp;8&amp;KA6A6A6restricted&amp;R&amp;6Data Protection Information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7D464-2BDB-48E8-B58C-29839B698D27}">
  <sheetPr>
    <pageSetUpPr fitToPage="1"/>
  </sheetPr>
  <dimension ref="B1:AA34"/>
  <sheetViews>
    <sheetView showGridLines="0" zoomScaleNormal="100" workbookViewId="0">
      <selection activeCell="N10" sqref="N10:R10"/>
    </sheetView>
  </sheetViews>
  <sheetFormatPr baseColWidth="10" defaultColWidth="11.42578125" defaultRowHeight="12.75"/>
  <cols>
    <col min="1" max="1" width="10.42578125" customWidth="1"/>
    <col min="7" max="7" width="4.42578125" customWidth="1"/>
    <col min="8" max="8" width="12.7109375" customWidth="1"/>
    <col min="12" max="12" width="13.140625" customWidth="1"/>
    <col min="13" max="13" width="2" customWidth="1"/>
    <col min="19" max="19" width="4.85546875" customWidth="1"/>
    <col min="20" max="20" width="13.28515625" customWidth="1"/>
    <col min="24" max="24" width="13.28515625" customWidth="1"/>
  </cols>
  <sheetData>
    <row r="1" spans="2:27" ht="59.25" customHeight="1" thickBot="1">
      <c r="B1" s="223" t="s">
        <v>315</v>
      </c>
      <c r="C1" s="223"/>
      <c r="D1" s="223"/>
      <c r="E1" s="223"/>
      <c r="F1" s="223"/>
      <c r="G1" s="223"/>
      <c r="H1" s="223"/>
      <c r="I1" s="223"/>
      <c r="J1" s="223"/>
      <c r="K1" s="223"/>
      <c r="L1" s="223"/>
      <c r="M1" s="49"/>
      <c r="N1" s="223" t="s">
        <v>316</v>
      </c>
      <c r="O1" s="223"/>
      <c r="P1" s="223"/>
      <c r="Q1" s="223"/>
      <c r="R1" s="223"/>
      <c r="S1" s="223"/>
      <c r="T1" s="223"/>
      <c r="U1" s="223"/>
      <c r="V1" s="223"/>
      <c r="W1" s="223"/>
      <c r="X1" s="223"/>
      <c r="Y1" s="49"/>
      <c r="Z1" s="49"/>
      <c r="AA1" s="49"/>
    </row>
    <row r="2" spans="2:27" ht="14.25" customHeight="1">
      <c r="B2" s="74" t="s">
        <v>311</v>
      </c>
      <c r="C2" s="75"/>
      <c r="D2" s="76" t="s">
        <v>321</v>
      </c>
      <c r="E2" s="77"/>
      <c r="F2" s="78"/>
      <c r="G2" s="78"/>
      <c r="H2" s="78"/>
      <c r="I2" s="78"/>
      <c r="J2" s="78"/>
      <c r="K2" s="78"/>
      <c r="L2" s="79"/>
      <c r="M2" s="49"/>
      <c r="N2" s="74" t="s">
        <v>317</v>
      </c>
      <c r="O2" s="75"/>
      <c r="P2" s="76" t="s">
        <v>323</v>
      </c>
      <c r="Q2" s="77"/>
      <c r="R2" s="78"/>
      <c r="S2" s="78"/>
      <c r="T2" s="78"/>
      <c r="U2" s="78"/>
      <c r="V2" s="78"/>
      <c r="W2" s="78"/>
      <c r="X2" s="79"/>
      <c r="Y2" s="49"/>
      <c r="Z2" s="49"/>
      <c r="AA2" s="49"/>
    </row>
    <row r="3" spans="2:27" ht="14.25" customHeight="1">
      <c r="B3" s="80"/>
      <c r="C3" s="81"/>
      <c r="D3" s="82"/>
      <c r="E3" s="13"/>
      <c r="F3" s="83"/>
      <c r="G3" s="83"/>
      <c r="H3" s="83"/>
      <c r="I3" s="83"/>
      <c r="J3" s="83"/>
      <c r="K3" s="83"/>
      <c r="L3" s="84"/>
      <c r="M3" s="49"/>
      <c r="N3" s="80"/>
      <c r="O3" s="81"/>
      <c r="P3" s="82"/>
      <c r="Q3" s="13"/>
      <c r="R3" s="83"/>
      <c r="S3" s="83"/>
      <c r="T3" s="83"/>
      <c r="U3" s="83"/>
      <c r="V3" s="83"/>
      <c r="W3" s="83"/>
      <c r="X3" s="84"/>
      <c r="Y3" s="49"/>
      <c r="Z3" s="49"/>
      <c r="AA3" s="49"/>
    </row>
    <row r="4" spans="2:27" ht="14.25" customHeight="1">
      <c r="B4" s="80"/>
      <c r="C4" s="81"/>
      <c r="D4" s="82" t="s">
        <v>322</v>
      </c>
      <c r="E4" s="13"/>
      <c r="F4" s="83"/>
      <c r="G4" s="83"/>
      <c r="H4" s="83"/>
      <c r="I4" s="83"/>
      <c r="J4" s="83"/>
      <c r="K4" s="83"/>
      <c r="L4" s="84"/>
      <c r="M4" s="49"/>
      <c r="N4" s="80"/>
      <c r="O4" s="81"/>
      <c r="P4" s="82" t="s">
        <v>324</v>
      </c>
      <c r="Q4" s="13"/>
      <c r="R4" s="83"/>
      <c r="S4" s="83"/>
      <c r="T4" s="83"/>
      <c r="U4" s="83"/>
      <c r="V4" s="83"/>
      <c r="W4" s="83"/>
      <c r="X4" s="84"/>
      <c r="Y4" s="49"/>
      <c r="Z4" s="49"/>
      <c r="AA4" s="49"/>
    </row>
    <row r="5" spans="2:27" ht="12.75" customHeight="1" thickBot="1">
      <c r="B5" s="85"/>
      <c r="C5" s="72"/>
      <c r="D5" s="86"/>
      <c r="E5" s="73"/>
      <c r="F5" s="72"/>
      <c r="G5" s="72"/>
      <c r="H5" s="72"/>
      <c r="I5" s="72"/>
      <c r="J5" s="72"/>
      <c r="K5" s="72"/>
      <c r="L5" s="87"/>
      <c r="M5" s="49"/>
      <c r="N5" s="85"/>
      <c r="O5" s="72"/>
      <c r="P5" s="86"/>
      <c r="Q5" s="73"/>
      <c r="R5" s="72"/>
      <c r="S5" s="72"/>
      <c r="T5" s="72"/>
      <c r="U5" s="72"/>
      <c r="V5" s="72"/>
      <c r="W5" s="72"/>
      <c r="X5" s="87"/>
      <c r="Y5" s="49"/>
      <c r="Z5" s="49"/>
      <c r="AA5" s="49"/>
    </row>
    <row r="6" spans="2:27" ht="20.100000000000001" customHeight="1" thickBot="1">
      <c r="B6" s="224" t="s">
        <v>1152</v>
      </c>
      <c r="C6" s="224"/>
      <c r="D6" s="224"/>
      <c r="E6" s="224"/>
      <c r="F6" s="224"/>
      <c r="G6" s="225" t="s">
        <v>1153</v>
      </c>
      <c r="H6" s="225"/>
      <c r="I6" s="225"/>
      <c r="J6" s="225"/>
      <c r="K6" s="225"/>
      <c r="L6" s="225"/>
      <c r="M6" s="49"/>
      <c r="N6" s="224" t="str">
        <f>B6</f>
        <v>BENTELER</v>
      </c>
      <c r="O6" s="224"/>
      <c r="P6" s="224"/>
      <c r="Q6" s="224"/>
      <c r="R6" s="224"/>
      <c r="S6" s="225" t="s">
        <v>1154</v>
      </c>
      <c r="T6" s="225"/>
      <c r="U6" s="225"/>
      <c r="V6" s="225"/>
      <c r="W6" s="225"/>
      <c r="X6" s="225"/>
      <c r="Y6" s="49"/>
      <c r="Z6" s="49"/>
      <c r="AA6" s="49"/>
    </row>
    <row r="7" spans="2:27" ht="20.100000000000001" customHeight="1" thickBot="1">
      <c r="B7" s="196" t="s">
        <v>312</v>
      </c>
      <c r="C7" s="197"/>
      <c r="D7" s="197"/>
      <c r="E7" s="197"/>
      <c r="F7" s="198"/>
      <c r="G7" s="199" t="s">
        <v>1547</v>
      </c>
      <c r="H7" s="226"/>
      <c r="I7" s="226"/>
      <c r="J7" s="226"/>
      <c r="K7" s="226"/>
      <c r="L7" s="226"/>
      <c r="M7" s="49"/>
      <c r="N7" s="196" t="s">
        <v>318</v>
      </c>
      <c r="O7" s="197"/>
      <c r="P7" s="197"/>
      <c r="Q7" s="197"/>
      <c r="R7" s="198"/>
      <c r="S7" s="199" t="s">
        <v>1569</v>
      </c>
      <c r="T7" s="226"/>
      <c r="U7" s="226"/>
      <c r="V7" s="226"/>
      <c r="W7" s="226"/>
      <c r="X7" s="226"/>
      <c r="Y7" s="49"/>
      <c r="Z7" s="49"/>
      <c r="AA7" s="49"/>
    </row>
    <row r="8" spans="2:27" ht="19.5" customHeight="1">
      <c r="B8" s="200" t="s">
        <v>1725</v>
      </c>
      <c r="C8" s="201"/>
      <c r="D8" s="201"/>
      <c r="E8" s="201"/>
      <c r="F8" s="202"/>
      <c r="G8" s="135" t="s">
        <v>307</v>
      </c>
      <c r="H8" s="227" t="s">
        <v>309</v>
      </c>
      <c r="I8" s="228"/>
      <c r="J8" s="228"/>
      <c r="K8" s="228"/>
      <c r="L8" s="229"/>
      <c r="M8" s="49"/>
      <c r="N8" s="200" t="s">
        <v>1728</v>
      </c>
      <c r="O8" s="201"/>
      <c r="P8" s="201"/>
      <c r="Q8" s="201"/>
      <c r="R8" s="202"/>
      <c r="S8" s="135" t="s">
        <v>307</v>
      </c>
      <c r="T8" s="227" t="s">
        <v>320</v>
      </c>
      <c r="U8" s="228"/>
      <c r="V8" s="228"/>
      <c r="W8" s="228"/>
      <c r="X8" s="229"/>
      <c r="Y8" s="49"/>
      <c r="Z8" s="49"/>
      <c r="AA8" s="49"/>
    </row>
    <row r="9" spans="2:27" ht="62.25" customHeight="1" thickBot="1">
      <c r="B9" s="206"/>
      <c r="C9" s="207"/>
      <c r="D9" s="207"/>
      <c r="E9" s="207"/>
      <c r="F9" s="208"/>
      <c r="G9" s="133" t="s">
        <v>308</v>
      </c>
      <c r="H9" s="220" t="s">
        <v>1604</v>
      </c>
      <c r="I9" s="221"/>
      <c r="J9" s="221"/>
      <c r="K9" s="221"/>
      <c r="L9" s="222"/>
      <c r="M9" s="49"/>
      <c r="N9" s="206"/>
      <c r="O9" s="207"/>
      <c r="P9" s="207"/>
      <c r="Q9" s="207"/>
      <c r="R9" s="208"/>
      <c r="S9" s="133" t="s">
        <v>308</v>
      </c>
      <c r="T9" s="220" t="s">
        <v>1605</v>
      </c>
      <c r="U9" s="221"/>
      <c r="V9" s="221"/>
      <c r="W9" s="221"/>
      <c r="X9" s="222"/>
      <c r="Y9" s="49"/>
      <c r="Z9" s="49"/>
      <c r="AA9" s="49"/>
    </row>
    <row r="10" spans="2:27" ht="20.100000000000001" customHeight="1" thickBot="1">
      <c r="B10" s="196" t="s">
        <v>313</v>
      </c>
      <c r="C10" s="197"/>
      <c r="D10" s="197"/>
      <c r="E10" s="197"/>
      <c r="F10" s="198"/>
      <c r="G10" s="199" t="s">
        <v>1548</v>
      </c>
      <c r="H10" s="199"/>
      <c r="I10" s="199"/>
      <c r="J10" s="199"/>
      <c r="K10" s="199"/>
      <c r="L10" s="199"/>
      <c r="M10" s="49"/>
      <c r="N10" s="196" t="s">
        <v>319</v>
      </c>
      <c r="O10" s="197"/>
      <c r="P10" s="197"/>
      <c r="Q10" s="197"/>
      <c r="R10" s="198"/>
      <c r="S10" s="199" t="s">
        <v>1555</v>
      </c>
      <c r="T10" s="199"/>
      <c r="U10" s="199"/>
      <c r="V10" s="199"/>
      <c r="W10" s="199"/>
      <c r="X10" s="199"/>
      <c r="Y10" s="49"/>
      <c r="Z10" s="49"/>
      <c r="AA10" s="49"/>
    </row>
    <row r="11" spans="2:27" ht="20.100000000000001" customHeight="1">
      <c r="B11" s="200" t="s">
        <v>1726</v>
      </c>
      <c r="C11" s="201"/>
      <c r="D11" s="201"/>
      <c r="E11" s="201"/>
      <c r="F11" s="202"/>
      <c r="G11" s="209" t="s">
        <v>307</v>
      </c>
      <c r="H11" s="211" t="s">
        <v>1571</v>
      </c>
      <c r="I11" s="211"/>
      <c r="J11" s="211"/>
      <c r="K11" s="211"/>
      <c r="L11" s="212"/>
      <c r="M11" s="49"/>
      <c r="N11" s="200" t="s">
        <v>1727</v>
      </c>
      <c r="O11" s="201"/>
      <c r="P11" s="201"/>
      <c r="Q11" s="201"/>
      <c r="R11" s="202"/>
      <c r="S11" s="209" t="s">
        <v>307</v>
      </c>
      <c r="T11" s="211" t="s">
        <v>1572</v>
      </c>
      <c r="U11" s="211"/>
      <c r="V11" s="211"/>
      <c r="W11" s="211"/>
      <c r="X11" s="212"/>
      <c r="Y11" s="49"/>
      <c r="Z11" s="49"/>
      <c r="AA11" s="49"/>
    </row>
    <row r="12" spans="2:27" ht="34.5" customHeight="1">
      <c r="B12" s="203"/>
      <c r="C12" s="204"/>
      <c r="D12" s="204"/>
      <c r="E12" s="204"/>
      <c r="F12" s="205"/>
      <c r="G12" s="210"/>
      <c r="H12" s="213"/>
      <c r="I12" s="213"/>
      <c r="J12" s="213"/>
      <c r="K12" s="213"/>
      <c r="L12" s="214"/>
      <c r="M12" s="49"/>
      <c r="N12" s="203"/>
      <c r="O12" s="204"/>
      <c r="P12" s="204"/>
      <c r="Q12" s="204"/>
      <c r="R12" s="205"/>
      <c r="S12" s="210"/>
      <c r="T12" s="213"/>
      <c r="U12" s="213"/>
      <c r="V12" s="213"/>
      <c r="W12" s="213"/>
      <c r="X12" s="214"/>
      <c r="Y12" s="49"/>
      <c r="Z12" s="49"/>
      <c r="AA12" s="49"/>
    </row>
    <row r="13" spans="2:27" ht="20.100000000000001" customHeight="1">
      <c r="B13" s="203"/>
      <c r="C13" s="204"/>
      <c r="D13" s="204"/>
      <c r="E13" s="204"/>
      <c r="F13" s="205"/>
      <c r="G13" s="132" t="s">
        <v>308</v>
      </c>
      <c r="H13" s="217" t="s">
        <v>1574</v>
      </c>
      <c r="I13" s="218"/>
      <c r="J13" s="218"/>
      <c r="K13" s="218"/>
      <c r="L13" s="219"/>
      <c r="M13" s="49"/>
      <c r="N13" s="203"/>
      <c r="O13" s="204"/>
      <c r="P13" s="204"/>
      <c r="Q13" s="204"/>
      <c r="R13" s="205"/>
      <c r="S13" s="132" t="s">
        <v>308</v>
      </c>
      <c r="T13" s="217" t="s">
        <v>1576</v>
      </c>
      <c r="U13" s="218"/>
      <c r="V13" s="218"/>
      <c r="W13" s="218"/>
      <c r="X13" s="219"/>
      <c r="Y13" s="49"/>
      <c r="Z13" s="49"/>
      <c r="AA13" s="49"/>
    </row>
    <row r="14" spans="2:27" ht="30" customHeight="1" thickBot="1">
      <c r="B14" s="206"/>
      <c r="C14" s="207"/>
      <c r="D14" s="207"/>
      <c r="E14" s="207"/>
      <c r="F14" s="208"/>
      <c r="G14" s="133" t="s">
        <v>1573</v>
      </c>
      <c r="H14" s="220" t="s">
        <v>1575</v>
      </c>
      <c r="I14" s="221"/>
      <c r="J14" s="221"/>
      <c r="K14" s="221"/>
      <c r="L14" s="222"/>
      <c r="M14" s="49"/>
      <c r="N14" s="206"/>
      <c r="O14" s="207"/>
      <c r="P14" s="207"/>
      <c r="Q14" s="207"/>
      <c r="R14" s="208"/>
      <c r="S14" s="133" t="s">
        <v>1573</v>
      </c>
      <c r="T14" s="220" t="s">
        <v>1577</v>
      </c>
      <c r="U14" s="221"/>
      <c r="V14" s="221"/>
      <c r="W14" s="221"/>
      <c r="X14" s="222"/>
      <c r="Y14" s="49"/>
      <c r="Z14" s="49"/>
      <c r="AA14" s="49"/>
    </row>
    <row r="15" spans="2:27" ht="20.100000000000001" customHeight="1" thickBot="1">
      <c r="B15" s="199" t="s">
        <v>314</v>
      </c>
      <c r="C15" s="199"/>
      <c r="D15" s="199"/>
      <c r="E15" s="199"/>
      <c r="F15" s="199"/>
      <c r="G15" s="215" t="s">
        <v>1549</v>
      </c>
      <c r="H15" s="215"/>
      <c r="I15" s="215"/>
      <c r="J15" s="215"/>
      <c r="K15" s="215"/>
      <c r="L15" s="216"/>
      <c r="M15" s="49"/>
      <c r="N15" s="199" t="s">
        <v>1162</v>
      </c>
      <c r="O15" s="199"/>
      <c r="P15" s="199"/>
      <c r="Q15" s="199"/>
      <c r="R15" s="199"/>
      <c r="S15" s="215" t="s">
        <v>1556</v>
      </c>
      <c r="T15" s="215"/>
      <c r="U15" s="215"/>
      <c r="V15" s="215"/>
      <c r="W15" s="215"/>
      <c r="X15" s="216"/>
      <c r="Y15" s="49"/>
      <c r="Z15" s="49"/>
      <c r="AA15" s="49"/>
    </row>
    <row r="16" spans="2:27" ht="19.5" customHeight="1">
      <c r="B16" s="200" t="s">
        <v>1612</v>
      </c>
      <c r="C16" s="201"/>
      <c r="D16" s="201"/>
      <c r="E16" s="201"/>
      <c r="F16" s="202"/>
      <c r="G16" s="184" t="s">
        <v>307</v>
      </c>
      <c r="H16" s="187" t="s">
        <v>1550</v>
      </c>
      <c r="I16" s="188"/>
      <c r="J16" s="188"/>
      <c r="K16" s="188"/>
      <c r="L16" s="189"/>
      <c r="M16" s="49"/>
      <c r="N16" s="200" t="s">
        <v>1613</v>
      </c>
      <c r="O16" s="201"/>
      <c r="P16" s="201"/>
      <c r="Q16" s="201"/>
      <c r="R16" s="202"/>
      <c r="S16" s="184" t="s">
        <v>307</v>
      </c>
      <c r="T16" s="187" t="s">
        <v>1551</v>
      </c>
      <c r="U16" s="188"/>
      <c r="V16" s="188"/>
      <c r="W16" s="188"/>
      <c r="X16" s="189"/>
      <c r="Y16" s="49"/>
      <c r="Z16" s="49"/>
      <c r="AA16" s="49"/>
    </row>
    <row r="17" spans="2:27" ht="19.5" customHeight="1">
      <c r="B17" s="203"/>
      <c r="C17" s="204"/>
      <c r="D17" s="204"/>
      <c r="E17" s="204"/>
      <c r="F17" s="205"/>
      <c r="G17" s="185"/>
      <c r="H17" s="190"/>
      <c r="I17" s="191"/>
      <c r="J17" s="191"/>
      <c r="K17" s="191"/>
      <c r="L17" s="192"/>
      <c r="M17" s="49"/>
      <c r="N17" s="203"/>
      <c r="O17" s="204"/>
      <c r="P17" s="204"/>
      <c r="Q17" s="204"/>
      <c r="R17" s="205"/>
      <c r="S17" s="185"/>
      <c r="T17" s="190"/>
      <c r="U17" s="191"/>
      <c r="V17" s="191"/>
      <c r="W17" s="191"/>
      <c r="X17" s="192"/>
      <c r="Y17" s="49"/>
      <c r="Z17" s="49"/>
      <c r="AA17" s="49"/>
    </row>
    <row r="18" spans="2:27" ht="42" customHeight="1" thickBot="1">
      <c r="B18" s="203"/>
      <c r="C18" s="204"/>
      <c r="D18" s="204"/>
      <c r="E18" s="204"/>
      <c r="F18" s="205"/>
      <c r="G18" s="186"/>
      <c r="H18" s="193"/>
      <c r="I18" s="194"/>
      <c r="J18" s="194"/>
      <c r="K18" s="194"/>
      <c r="L18" s="195"/>
      <c r="M18" s="49"/>
      <c r="N18" s="206"/>
      <c r="O18" s="207"/>
      <c r="P18" s="207"/>
      <c r="Q18" s="207"/>
      <c r="R18" s="208"/>
      <c r="S18" s="186"/>
      <c r="T18" s="193"/>
      <c r="U18" s="194"/>
      <c r="V18" s="194"/>
      <c r="W18" s="194"/>
      <c r="X18" s="195"/>
      <c r="Y18" s="49"/>
      <c r="Z18" s="49"/>
      <c r="AA18" s="49"/>
    </row>
    <row r="19" spans="2:27" ht="20.100000000000001" customHeight="1" thickBot="1">
      <c r="B19" s="162"/>
      <c r="C19" s="163"/>
      <c r="D19" s="163"/>
      <c r="E19" s="163"/>
      <c r="F19" s="164"/>
      <c r="G19" s="256" t="s">
        <v>1552</v>
      </c>
      <c r="H19" s="215"/>
      <c r="I19" s="215"/>
      <c r="J19" s="215"/>
      <c r="K19" s="215"/>
      <c r="L19" s="216"/>
      <c r="M19" s="49"/>
      <c r="N19" s="162"/>
      <c r="O19" s="163"/>
      <c r="P19" s="163"/>
      <c r="Q19" s="163"/>
      <c r="R19" s="164"/>
      <c r="S19" s="215" t="s">
        <v>1559</v>
      </c>
      <c r="T19" s="215"/>
      <c r="U19" s="215"/>
      <c r="V19" s="215"/>
      <c r="W19" s="215"/>
      <c r="X19" s="216"/>
      <c r="Y19" s="49"/>
      <c r="Z19" s="49"/>
      <c r="AA19" s="49"/>
    </row>
    <row r="20" spans="2:27" ht="80.25" customHeight="1">
      <c r="B20" s="165"/>
      <c r="C20" s="166"/>
      <c r="D20" s="166"/>
      <c r="E20" s="166"/>
      <c r="F20" s="167"/>
      <c r="G20" s="89" t="s">
        <v>307</v>
      </c>
      <c r="H20" s="211" t="s">
        <v>1553</v>
      </c>
      <c r="I20" s="251"/>
      <c r="J20" s="251"/>
      <c r="K20" s="251"/>
      <c r="L20" s="252"/>
      <c r="M20" s="49"/>
      <c r="N20" s="165"/>
      <c r="O20" s="166"/>
      <c r="P20" s="166"/>
      <c r="Q20" s="166"/>
      <c r="R20" s="167"/>
      <c r="S20" s="89" t="s">
        <v>307</v>
      </c>
      <c r="T20" s="211" t="s">
        <v>1554</v>
      </c>
      <c r="U20" s="251"/>
      <c r="V20" s="251"/>
      <c r="W20" s="251"/>
      <c r="X20" s="252"/>
      <c r="Y20" s="49"/>
      <c r="Z20" s="49"/>
      <c r="AA20" s="49"/>
    </row>
    <row r="21" spans="2:27" ht="56.25" customHeight="1" thickBot="1">
      <c r="B21" s="165"/>
      <c r="C21" s="166"/>
      <c r="D21" s="166"/>
      <c r="E21" s="166"/>
      <c r="F21" s="167"/>
      <c r="G21" s="88" t="s">
        <v>308</v>
      </c>
      <c r="H21" s="213" t="s">
        <v>1557</v>
      </c>
      <c r="I21" s="213"/>
      <c r="J21" s="213"/>
      <c r="K21" s="213"/>
      <c r="L21" s="214"/>
      <c r="M21" s="49"/>
      <c r="N21" s="165"/>
      <c r="O21" s="166"/>
      <c r="P21" s="166"/>
      <c r="Q21" s="166"/>
      <c r="R21" s="167"/>
      <c r="S21" s="88" t="s">
        <v>308</v>
      </c>
      <c r="T21" s="213" t="s">
        <v>1558</v>
      </c>
      <c r="U21" s="213"/>
      <c r="V21" s="213"/>
      <c r="W21" s="213"/>
      <c r="X21" s="214"/>
      <c r="Y21" s="49"/>
      <c r="Z21" s="49"/>
      <c r="AA21" s="49"/>
    </row>
    <row r="22" spans="2:27" ht="19.5" customHeight="1" thickBot="1">
      <c r="B22" s="165"/>
      <c r="C22" s="166"/>
      <c r="D22" s="166"/>
      <c r="E22" s="166"/>
      <c r="F22" s="167"/>
      <c r="G22" s="215" t="s">
        <v>1161</v>
      </c>
      <c r="H22" s="215"/>
      <c r="I22" s="215"/>
      <c r="J22" s="215"/>
      <c r="K22" s="215"/>
      <c r="L22" s="216"/>
      <c r="M22" s="49"/>
      <c r="N22" s="165"/>
      <c r="O22" s="166"/>
      <c r="P22" s="166"/>
      <c r="Q22" s="166"/>
      <c r="R22" s="167"/>
      <c r="S22" s="256" t="s">
        <v>1570</v>
      </c>
      <c r="T22" s="215"/>
      <c r="U22" s="215"/>
      <c r="V22" s="215"/>
      <c r="W22" s="215"/>
      <c r="X22" s="216"/>
      <c r="Y22" s="49"/>
      <c r="Z22" s="49"/>
      <c r="AA22" s="49"/>
    </row>
    <row r="23" spans="2:27" ht="19.5" customHeight="1" thickBot="1">
      <c r="B23" s="165"/>
      <c r="C23" s="166"/>
      <c r="D23" s="166"/>
      <c r="E23" s="166"/>
      <c r="F23" s="167"/>
      <c r="G23" s="253" t="s">
        <v>555</v>
      </c>
      <c r="H23" s="253"/>
      <c r="I23" s="253"/>
      <c r="J23" s="253"/>
      <c r="K23" s="253"/>
      <c r="L23" s="254"/>
      <c r="M23" s="49"/>
      <c r="N23" s="165"/>
      <c r="O23" s="166"/>
      <c r="P23" s="166"/>
      <c r="Q23" s="166"/>
      <c r="R23" s="167"/>
      <c r="S23" s="255" t="s">
        <v>556</v>
      </c>
      <c r="T23" s="253"/>
      <c r="U23" s="253"/>
      <c r="V23" s="253"/>
      <c r="W23" s="253"/>
      <c r="X23" s="254"/>
      <c r="Y23" s="49"/>
      <c r="Z23" s="49"/>
      <c r="AA23" s="49"/>
    </row>
    <row r="24" spans="2:27" ht="9" customHeight="1" thickBot="1">
      <c r="B24" s="165"/>
      <c r="C24" s="166"/>
      <c r="D24" s="166"/>
      <c r="E24" s="166"/>
      <c r="F24" s="167"/>
      <c r="G24" s="93"/>
      <c r="H24" s="93"/>
      <c r="I24" s="93"/>
      <c r="J24" s="93"/>
      <c r="K24" s="93"/>
      <c r="L24" s="94"/>
      <c r="N24" s="165"/>
      <c r="O24" s="166"/>
      <c r="P24" s="166"/>
      <c r="Q24" s="166"/>
      <c r="R24" s="167"/>
      <c r="S24" s="95"/>
      <c r="T24" s="93"/>
      <c r="U24" s="93"/>
      <c r="V24" s="93"/>
      <c r="W24" s="93"/>
      <c r="X24" s="94"/>
    </row>
    <row r="25" spans="2:27" ht="19.5" customHeight="1" thickBot="1">
      <c r="B25" s="165"/>
      <c r="C25" s="166"/>
      <c r="D25" s="166"/>
      <c r="E25" s="166"/>
      <c r="F25" s="167"/>
      <c r="G25" s="215" t="s">
        <v>1237</v>
      </c>
      <c r="H25" s="215"/>
      <c r="I25" s="215"/>
      <c r="J25" s="215"/>
      <c r="K25" s="215"/>
      <c r="L25" s="216"/>
      <c r="M25" s="49"/>
      <c r="N25" s="165"/>
      <c r="O25" s="166"/>
      <c r="P25" s="166"/>
      <c r="Q25" s="166"/>
      <c r="R25" s="167"/>
      <c r="S25" s="256" t="s">
        <v>1236</v>
      </c>
      <c r="T25" s="215"/>
      <c r="U25" s="215"/>
      <c r="V25" s="215"/>
      <c r="W25" s="215"/>
      <c r="X25" s="216"/>
      <c r="Y25" s="49"/>
      <c r="Z25" s="49"/>
      <c r="AA25" s="49"/>
    </row>
    <row r="26" spans="2:27" ht="30.75" customHeight="1">
      <c r="B26" s="165"/>
      <c r="C26" s="166"/>
      <c r="D26" s="166"/>
      <c r="E26" s="166"/>
      <c r="F26" s="167"/>
      <c r="G26" s="171" t="s">
        <v>1560</v>
      </c>
      <c r="H26" s="172"/>
      <c r="I26" s="173" t="s">
        <v>1606</v>
      </c>
      <c r="J26" s="174"/>
      <c r="K26" s="174"/>
      <c r="L26" s="175"/>
      <c r="M26" s="49"/>
      <c r="N26" s="165"/>
      <c r="O26" s="166"/>
      <c r="P26" s="166"/>
      <c r="Q26" s="166"/>
      <c r="R26" s="167"/>
      <c r="S26" s="171" t="s">
        <v>1561</v>
      </c>
      <c r="T26" s="172"/>
      <c r="U26" s="173" t="s">
        <v>1607</v>
      </c>
      <c r="V26" s="174"/>
      <c r="W26" s="174"/>
      <c r="X26" s="175"/>
      <c r="Y26" s="49"/>
      <c r="Z26" s="49"/>
      <c r="AA26" s="49"/>
    </row>
    <row r="27" spans="2:27" ht="41.25" customHeight="1">
      <c r="B27" s="165"/>
      <c r="C27" s="166"/>
      <c r="D27" s="166"/>
      <c r="E27" s="166"/>
      <c r="F27" s="167"/>
      <c r="G27" s="160" t="s">
        <v>1562</v>
      </c>
      <c r="H27" s="161"/>
      <c r="I27" s="176" t="s">
        <v>1564</v>
      </c>
      <c r="J27" s="177"/>
      <c r="K27" s="177"/>
      <c r="L27" s="178"/>
      <c r="M27" s="49"/>
      <c r="N27" s="165"/>
      <c r="O27" s="166"/>
      <c r="P27" s="166"/>
      <c r="Q27" s="166"/>
      <c r="R27" s="167"/>
      <c r="S27" s="160" t="s">
        <v>1563</v>
      </c>
      <c r="T27" s="161"/>
      <c r="U27" s="176" t="s">
        <v>1578</v>
      </c>
      <c r="V27" s="177"/>
      <c r="W27" s="177"/>
      <c r="X27" s="178"/>
      <c r="Y27" s="49"/>
      <c r="Z27" s="49"/>
      <c r="AA27" s="49"/>
    </row>
    <row r="28" spans="2:27" ht="16.5" customHeight="1" thickBot="1">
      <c r="B28" s="168"/>
      <c r="C28" s="169"/>
      <c r="D28" s="169"/>
      <c r="E28" s="169"/>
      <c r="F28" s="170"/>
      <c r="G28" s="179" t="s">
        <v>1565</v>
      </c>
      <c r="H28" s="180"/>
      <c r="I28" s="181" t="s">
        <v>1566</v>
      </c>
      <c r="J28" s="182"/>
      <c r="K28" s="182"/>
      <c r="L28" s="183"/>
      <c r="M28" s="49"/>
      <c r="N28" s="168"/>
      <c r="O28" s="169"/>
      <c r="P28" s="169"/>
      <c r="Q28" s="169"/>
      <c r="R28" s="170"/>
      <c r="S28" s="179" t="s">
        <v>1568</v>
      </c>
      <c r="T28" s="180"/>
      <c r="U28" s="181" t="s">
        <v>1567</v>
      </c>
      <c r="V28" s="182"/>
      <c r="W28" s="182"/>
      <c r="X28" s="183"/>
      <c r="Y28" s="49"/>
      <c r="Z28" s="49"/>
      <c r="AA28" s="49"/>
    </row>
    <row r="29" spans="2:27" ht="9" customHeight="1" thickBot="1">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row>
    <row r="30" spans="2:27" ht="19.5" customHeight="1" thickBot="1">
      <c r="B30" s="242" t="s">
        <v>1472</v>
      </c>
      <c r="C30" s="243"/>
      <c r="D30" s="243"/>
      <c r="E30" s="243"/>
      <c r="F30" s="243"/>
      <c r="G30" s="243"/>
      <c r="H30" s="243"/>
      <c r="I30" s="243"/>
      <c r="J30" s="243"/>
      <c r="K30" s="243"/>
      <c r="L30" s="244"/>
      <c r="M30" s="49"/>
      <c r="N30" s="242" t="s">
        <v>1477</v>
      </c>
      <c r="O30" s="243"/>
      <c r="P30" s="243"/>
      <c r="Q30" s="243"/>
      <c r="R30" s="243"/>
      <c r="S30" s="243"/>
      <c r="T30" s="243"/>
      <c r="U30" s="243"/>
      <c r="V30" s="243"/>
      <c r="W30" s="243"/>
      <c r="X30" s="244"/>
      <c r="Y30" s="49"/>
      <c r="Z30" s="49"/>
      <c r="AA30" s="49"/>
    </row>
    <row r="31" spans="2:27" ht="314.25" customHeight="1">
      <c r="B31" s="236" t="s">
        <v>1501</v>
      </c>
      <c r="C31" s="237"/>
      <c r="D31" s="238"/>
      <c r="E31" s="239" t="s">
        <v>1621</v>
      </c>
      <c r="F31" s="240"/>
      <c r="G31" s="240"/>
      <c r="H31" s="240"/>
      <c r="I31" s="240"/>
      <c r="J31" s="240"/>
      <c r="K31" s="240"/>
      <c r="L31" s="241"/>
      <c r="M31" s="49"/>
      <c r="N31" s="236" t="s">
        <v>1478</v>
      </c>
      <c r="O31" s="237"/>
      <c r="P31" s="238"/>
      <c r="Q31" s="239" t="s">
        <v>1622</v>
      </c>
      <c r="R31" s="240"/>
      <c r="S31" s="240"/>
      <c r="T31" s="240"/>
      <c r="U31" s="240"/>
      <c r="V31" s="240"/>
      <c r="W31" s="240"/>
      <c r="X31" s="241"/>
      <c r="Y31" s="49"/>
      <c r="Z31" s="49"/>
      <c r="AA31" s="49"/>
    </row>
    <row r="32" spans="2:27" ht="68.25" customHeight="1">
      <c r="B32" s="245" t="s">
        <v>1473</v>
      </c>
      <c r="C32" s="246"/>
      <c r="D32" s="247"/>
      <c r="E32" s="248" t="s">
        <v>1475</v>
      </c>
      <c r="F32" s="249"/>
      <c r="G32" s="249"/>
      <c r="H32" s="249"/>
      <c r="I32" s="249"/>
      <c r="J32" s="249"/>
      <c r="K32" s="249"/>
      <c r="L32" s="250"/>
      <c r="N32" s="245" t="s">
        <v>1479</v>
      </c>
      <c r="O32" s="246"/>
      <c r="P32" s="247"/>
      <c r="Q32" s="248" t="s">
        <v>1482</v>
      </c>
      <c r="R32" s="249"/>
      <c r="S32" s="249"/>
      <c r="T32" s="249"/>
      <c r="U32" s="249"/>
      <c r="V32" s="249"/>
      <c r="W32" s="249"/>
      <c r="X32" s="250"/>
      <c r="Y32" s="49"/>
      <c r="Z32" s="49"/>
      <c r="AA32" s="49"/>
    </row>
    <row r="33" spans="2:24" ht="301.5" customHeight="1">
      <c r="B33" s="245" t="s">
        <v>1504</v>
      </c>
      <c r="C33" s="246"/>
      <c r="D33" s="247"/>
      <c r="E33" s="248" t="s">
        <v>1483</v>
      </c>
      <c r="F33" s="249"/>
      <c r="G33" s="249"/>
      <c r="H33" s="249"/>
      <c r="I33" s="249"/>
      <c r="J33" s="249"/>
      <c r="K33" s="249"/>
      <c r="L33" s="250"/>
      <c r="N33" s="245" t="s">
        <v>1480</v>
      </c>
      <c r="O33" s="246"/>
      <c r="P33" s="247"/>
      <c r="Q33" s="248" t="s">
        <v>1484</v>
      </c>
      <c r="R33" s="249"/>
      <c r="S33" s="249"/>
      <c r="T33" s="249"/>
      <c r="U33" s="249"/>
      <c r="V33" s="249"/>
      <c r="W33" s="249"/>
      <c r="X33" s="250"/>
    </row>
    <row r="34" spans="2:24" ht="109.5" customHeight="1" thickBot="1">
      <c r="B34" s="230" t="s">
        <v>1474</v>
      </c>
      <c r="C34" s="231"/>
      <c r="D34" s="232"/>
      <c r="E34" s="233" t="s">
        <v>1476</v>
      </c>
      <c r="F34" s="234"/>
      <c r="G34" s="234"/>
      <c r="H34" s="234"/>
      <c r="I34" s="234"/>
      <c r="J34" s="234"/>
      <c r="K34" s="234"/>
      <c r="L34" s="235"/>
      <c r="N34" s="230" t="s">
        <v>1481</v>
      </c>
      <c r="O34" s="231"/>
      <c r="P34" s="232"/>
      <c r="Q34" s="233" t="s">
        <v>1485</v>
      </c>
      <c r="R34" s="234"/>
      <c r="S34" s="234"/>
      <c r="T34" s="234"/>
      <c r="U34" s="234"/>
      <c r="V34" s="234"/>
      <c r="W34" s="234"/>
      <c r="X34" s="235"/>
    </row>
  </sheetData>
  <sheetProtection sheet="1" objects="1" selectLockedCells="1" selectUnlockedCells="1"/>
  <mergeCells count="84">
    <mergeCell ref="H9:L9"/>
    <mergeCell ref="B8:F9"/>
    <mergeCell ref="N8:R9"/>
    <mergeCell ref="T9:X9"/>
    <mergeCell ref="B19:F28"/>
    <mergeCell ref="G19:L19"/>
    <mergeCell ref="S19:X19"/>
    <mergeCell ref="B10:F10"/>
    <mergeCell ref="B11:F14"/>
    <mergeCell ref="B16:F18"/>
    <mergeCell ref="H11:L12"/>
    <mergeCell ref="G11:G12"/>
    <mergeCell ref="G10:L10"/>
    <mergeCell ref="B15:F15"/>
    <mergeCell ref="G15:L15"/>
    <mergeCell ref="H16:L18"/>
    <mergeCell ref="N33:P33"/>
    <mergeCell ref="Q33:X33"/>
    <mergeCell ref="H20:L20"/>
    <mergeCell ref="T21:X21"/>
    <mergeCell ref="G23:L23"/>
    <mergeCell ref="S23:X23"/>
    <mergeCell ref="G22:L22"/>
    <mergeCell ref="S22:X22"/>
    <mergeCell ref="H21:L21"/>
    <mergeCell ref="T20:X20"/>
    <mergeCell ref="S25:X25"/>
    <mergeCell ref="G25:L25"/>
    <mergeCell ref="U26:X26"/>
    <mergeCell ref="U27:X27"/>
    <mergeCell ref="U28:X28"/>
    <mergeCell ref="S26:T26"/>
    <mergeCell ref="N34:P34"/>
    <mergeCell ref="Q34:X34"/>
    <mergeCell ref="N31:P31"/>
    <mergeCell ref="Q31:X31"/>
    <mergeCell ref="B30:L30"/>
    <mergeCell ref="N30:X30"/>
    <mergeCell ref="B31:D31"/>
    <mergeCell ref="E31:L31"/>
    <mergeCell ref="B32:D32"/>
    <mergeCell ref="B33:D33"/>
    <mergeCell ref="B34:D34"/>
    <mergeCell ref="E32:L32"/>
    <mergeCell ref="E33:L33"/>
    <mergeCell ref="E34:L34"/>
    <mergeCell ref="N32:P32"/>
    <mergeCell ref="Q32:X32"/>
    <mergeCell ref="G16:G18"/>
    <mergeCell ref="H13:L13"/>
    <mergeCell ref="H14:L14"/>
    <mergeCell ref="B7:F7"/>
    <mergeCell ref="N1:X1"/>
    <mergeCell ref="N6:R6"/>
    <mergeCell ref="S6:X6"/>
    <mergeCell ref="B1:L1"/>
    <mergeCell ref="B6:F6"/>
    <mergeCell ref="G6:L6"/>
    <mergeCell ref="G7:L7"/>
    <mergeCell ref="H8:L8"/>
    <mergeCell ref="N7:R7"/>
    <mergeCell ref="S7:X7"/>
    <mergeCell ref="T8:X8"/>
    <mergeCell ref="N16:R18"/>
    <mergeCell ref="S16:S18"/>
    <mergeCell ref="T16:X18"/>
    <mergeCell ref="N10:R10"/>
    <mergeCell ref="S10:X10"/>
    <mergeCell ref="N11:R14"/>
    <mergeCell ref="S11:S12"/>
    <mergeCell ref="T11:X12"/>
    <mergeCell ref="N15:R15"/>
    <mergeCell ref="S15:X15"/>
    <mergeCell ref="T13:X13"/>
    <mergeCell ref="T14:X14"/>
    <mergeCell ref="S27:T27"/>
    <mergeCell ref="N19:R28"/>
    <mergeCell ref="G26:H26"/>
    <mergeCell ref="I26:L26"/>
    <mergeCell ref="G27:H27"/>
    <mergeCell ref="I27:L27"/>
    <mergeCell ref="G28:H28"/>
    <mergeCell ref="I28:L28"/>
    <mergeCell ref="S28:T28"/>
  </mergeCells>
  <pageMargins left="0.7" right="0.7" top="0.78740157499999996" bottom="0.78740157499999996" header="0.3" footer="0.3"/>
  <pageSetup paperSize="9" scale="35" fitToHeight="0" orientation="portrait" r:id="rId1"/>
  <headerFooter>
    <oddFooter>&amp;L&amp;6T.PU.082 Supplier Self Assessment and Approval Form / V1.5 / T.Schneider / 30.10.2023&amp;C&amp;1#&amp;8&amp;KA6A6A6restricted&amp;R&amp;6Explanation</oddFooter>
  </headerFooter>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8"/>
  <sheetViews>
    <sheetView showGridLines="0" zoomScale="120" zoomScaleNormal="120" zoomScalePageLayoutView="110" workbookViewId="0">
      <selection activeCell="A5" sqref="A5:K5"/>
    </sheetView>
  </sheetViews>
  <sheetFormatPr baseColWidth="10" defaultColWidth="11.42578125" defaultRowHeight="12.75"/>
  <cols>
    <col min="1" max="1" width="15.140625" customWidth="1"/>
    <col min="2" max="2" width="11.42578125" customWidth="1"/>
    <col min="3" max="3" width="8" customWidth="1"/>
    <col min="4" max="5" width="10.140625" customWidth="1"/>
    <col min="6" max="6" width="1.5703125" customWidth="1"/>
    <col min="7" max="7" width="9.140625" customWidth="1"/>
    <col min="8" max="8" width="10.5703125" bestFit="1" customWidth="1"/>
    <col min="9" max="9" width="10.85546875" bestFit="1" customWidth="1"/>
    <col min="10" max="10" width="9.140625" customWidth="1"/>
    <col min="11" max="11" width="19.42578125" customWidth="1"/>
  </cols>
  <sheetData>
    <row r="1" spans="1:11" ht="42.75" customHeight="1" thickBot="1">
      <c r="A1" s="445" t="str">
        <f>HLOOKUP(Language,Translation,2)</f>
        <v>Supplier Self-Assessment</v>
      </c>
      <c r="B1" s="446"/>
      <c r="C1" s="446"/>
      <c r="D1" s="446"/>
      <c r="E1" s="446"/>
      <c r="F1" s="446"/>
      <c r="G1" s="446"/>
      <c r="H1" s="446"/>
      <c r="I1" s="446"/>
      <c r="J1" s="446"/>
      <c r="K1" s="28"/>
    </row>
    <row r="2" spans="1:11" ht="8.1" customHeight="1" thickBot="1">
      <c r="A2" s="29"/>
      <c r="B2" s="29"/>
      <c r="C2" s="29"/>
      <c r="D2" s="29"/>
      <c r="E2" s="29"/>
      <c r="F2" s="29"/>
      <c r="G2" s="29"/>
      <c r="H2" s="29"/>
      <c r="I2" s="29"/>
      <c r="J2" s="29"/>
      <c r="K2" s="29"/>
    </row>
    <row r="3" spans="1:11" ht="16.5" customHeight="1" thickBot="1">
      <c r="A3" s="351" t="str">
        <f>HLOOKUP(Language,Translation,4)</f>
        <v>Company Profile</v>
      </c>
      <c r="B3" s="352"/>
      <c r="C3" s="352"/>
      <c r="D3" s="352"/>
      <c r="E3" s="352"/>
      <c r="F3" s="352"/>
      <c r="G3" s="352"/>
      <c r="H3" s="352"/>
      <c r="I3" s="352"/>
      <c r="J3" s="352"/>
      <c r="K3" s="353"/>
    </row>
    <row r="4" spans="1:11" ht="15" customHeight="1">
      <c r="A4" s="461" t="str">
        <f>HLOOKUP(Language,Translation,5)&amp;" "&amp;HLOOKUP(Language,Translation,18)</f>
        <v>Company name (including legal form):</v>
      </c>
      <c r="B4" s="462"/>
      <c r="C4" s="462"/>
      <c r="D4" s="462"/>
      <c r="E4" s="462"/>
      <c r="F4" s="462"/>
      <c r="G4" s="462"/>
      <c r="H4" s="462"/>
      <c r="I4" s="462"/>
      <c r="J4" s="462"/>
      <c r="K4" s="463"/>
    </row>
    <row r="5" spans="1:11" ht="15" customHeight="1">
      <c r="A5" s="373"/>
      <c r="B5" s="374"/>
      <c r="C5" s="374"/>
      <c r="D5" s="374"/>
      <c r="E5" s="374"/>
      <c r="F5" s="374"/>
      <c r="G5" s="374"/>
      <c r="H5" s="374"/>
      <c r="I5" s="374"/>
      <c r="J5" s="374"/>
      <c r="K5" s="377"/>
    </row>
    <row r="6" spans="1:11" ht="15" customHeight="1">
      <c r="A6" s="396" t="str">
        <f>HLOOKUP(Language,Translation,19)</f>
        <v>Name of Company owner / Major owner:</v>
      </c>
      <c r="B6" s="464"/>
      <c r="C6" s="464"/>
      <c r="D6" s="464"/>
      <c r="E6" s="464"/>
      <c r="F6" s="464"/>
      <c r="G6" s="464"/>
      <c r="H6" s="464"/>
      <c r="I6" s="464"/>
      <c r="J6" s="464"/>
      <c r="K6" s="465"/>
    </row>
    <row r="7" spans="1:11" ht="15" customHeight="1">
      <c r="A7" s="373"/>
      <c r="B7" s="374"/>
      <c r="C7" s="374"/>
      <c r="D7" s="374"/>
      <c r="E7" s="374"/>
      <c r="F7" s="374"/>
      <c r="G7" s="374"/>
      <c r="H7" s="374"/>
      <c r="I7" s="374"/>
      <c r="J7" s="374"/>
      <c r="K7" s="377"/>
    </row>
    <row r="8" spans="1:11" ht="15" customHeight="1">
      <c r="A8" s="368" t="str">
        <f>HLOOKUP(Language,Translation,6)</f>
        <v>Facility Address:</v>
      </c>
      <c r="B8" s="369"/>
      <c r="C8" s="369"/>
      <c r="D8" s="369"/>
      <c r="E8" s="370"/>
      <c r="F8" s="458" t="str">
        <f>HLOOKUP(Language,Translation,17)&amp;" "&amp;HLOOKUP(Language,Translation,18)</f>
        <v>Former / historical company name (including legal form):</v>
      </c>
      <c r="G8" s="459"/>
      <c r="H8" s="459"/>
      <c r="I8" s="459"/>
      <c r="J8" s="459"/>
      <c r="K8" s="460"/>
    </row>
    <row r="9" spans="1:11" ht="15" customHeight="1">
      <c r="A9" s="373"/>
      <c r="B9" s="374"/>
      <c r="C9" s="374"/>
      <c r="D9" s="374"/>
      <c r="E9" s="375"/>
      <c r="F9" s="376"/>
      <c r="G9" s="374"/>
      <c r="H9" s="374"/>
      <c r="I9" s="374"/>
      <c r="J9" s="374"/>
      <c r="K9" s="377"/>
    </row>
    <row r="10" spans="1:11" ht="15" customHeight="1">
      <c r="A10" s="368" t="str">
        <f>HLOOKUP(Language,Translation,7)</f>
        <v>Post code, City, State:</v>
      </c>
      <c r="B10" s="369"/>
      <c r="C10" s="369"/>
      <c r="D10" s="369"/>
      <c r="E10" s="370"/>
      <c r="F10" s="371" t="str">
        <f>HLOOKUP(Language,Translation,196)&amp;":"</f>
        <v>Contact Person:</v>
      </c>
      <c r="G10" s="369"/>
      <c r="H10" s="369"/>
      <c r="I10" s="369"/>
      <c r="J10" s="369"/>
      <c r="K10" s="372"/>
    </row>
    <row r="11" spans="1:11" ht="15" customHeight="1">
      <c r="A11" s="373"/>
      <c r="B11" s="374"/>
      <c r="C11" s="374"/>
      <c r="D11" s="374"/>
      <c r="E11" s="375"/>
      <c r="F11" s="376"/>
      <c r="G11" s="374"/>
      <c r="H11" s="374"/>
      <c r="I11" s="374"/>
      <c r="J11" s="374"/>
      <c r="K11" s="377"/>
    </row>
    <row r="12" spans="1:11" ht="15" customHeight="1">
      <c r="A12" s="368" t="str">
        <f>HLOOKUP(Language,Translation,8)</f>
        <v>Country:</v>
      </c>
      <c r="B12" s="369"/>
      <c r="C12" s="369"/>
      <c r="D12" s="369"/>
      <c r="E12" s="370"/>
      <c r="F12" s="371" t="str">
        <f>HLOOKUP(Language,Translation,21)</f>
        <v>Function:</v>
      </c>
      <c r="G12" s="369"/>
      <c r="H12" s="369"/>
      <c r="I12" s="369"/>
      <c r="J12" s="369"/>
      <c r="K12" s="372"/>
    </row>
    <row r="13" spans="1:11" ht="15" customHeight="1">
      <c r="A13" s="373" t="s">
        <v>75</v>
      </c>
      <c r="B13" s="374"/>
      <c r="C13" s="374"/>
      <c r="D13" s="374"/>
      <c r="E13" s="375"/>
      <c r="F13" s="376"/>
      <c r="G13" s="374"/>
      <c r="H13" s="374"/>
      <c r="I13" s="374"/>
      <c r="J13" s="374"/>
      <c r="K13" s="377"/>
    </row>
    <row r="14" spans="1:11" ht="15" customHeight="1">
      <c r="A14" s="396" t="str">
        <f>HLOOKUP(Language,Translation,9)</f>
        <v>Website (URL):</v>
      </c>
      <c r="B14" s="369"/>
      <c r="C14" s="369"/>
      <c r="D14" s="369"/>
      <c r="E14" s="370"/>
      <c r="F14" s="371" t="str">
        <f>HLOOKUP(Language,Translation,269)</f>
        <v>Language of communication:</v>
      </c>
      <c r="G14" s="369"/>
      <c r="H14" s="369"/>
      <c r="I14" s="369"/>
      <c r="J14" s="369"/>
      <c r="K14" s="372"/>
    </row>
    <row r="15" spans="1:11" ht="15" customHeight="1">
      <c r="A15" s="373"/>
      <c r="B15" s="374"/>
      <c r="C15" s="374"/>
      <c r="D15" s="374"/>
      <c r="E15" s="375"/>
      <c r="F15" s="376"/>
      <c r="G15" s="374"/>
      <c r="H15" s="374"/>
      <c r="I15" s="374"/>
      <c r="J15" s="374"/>
      <c r="K15" s="377"/>
    </row>
    <row r="16" spans="1:11" ht="15" customHeight="1">
      <c r="A16" s="396" t="str">
        <f>HLOOKUP(Language,Translation,268)</f>
        <v>Tax identification number:</v>
      </c>
      <c r="B16" s="369"/>
      <c r="C16" s="369"/>
      <c r="D16" s="369"/>
      <c r="E16" s="370"/>
      <c r="F16" s="371" t="str">
        <f>HLOOKUP(Language,Translation,14)</f>
        <v>Telephone-No.:</v>
      </c>
      <c r="G16" s="369"/>
      <c r="H16" s="369"/>
      <c r="I16" s="369"/>
      <c r="J16" s="369"/>
      <c r="K16" s="372"/>
    </row>
    <row r="17" spans="1:11" ht="15" customHeight="1">
      <c r="A17" s="466"/>
      <c r="B17" s="422"/>
      <c r="C17" s="422"/>
      <c r="D17" s="422"/>
      <c r="E17" s="467"/>
      <c r="F17" s="421"/>
      <c r="G17" s="422"/>
      <c r="H17" s="422"/>
      <c r="I17" s="422"/>
      <c r="J17" s="422"/>
      <c r="K17" s="423"/>
    </row>
    <row r="18" spans="1:11" ht="15" customHeight="1">
      <c r="A18" s="368" t="str">
        <f>HLOOKUP(Language,Translation,10)</f>
        <v>VAT-Number:</v>
      </c>
      <c r="B18" s="369"/>
      <c r="C18" s="369"/>
      <c r="D18" s="369"/>
      <c r="E18" s="370"/>
      <c r="F18" s="371" t="str">
        <f>HLOOKUP(Language,Translation,15)</f>
        <v>Fax-No.:</v>
      </c>
      <c r="G18" s="369"/>
      <c r="H18" s="369"/>
      <c r="I18" s="369"/>
      <c r="J18" s="369"/>
      <c r="K18" s="372"/>
    </row>
    <row r="19" spans="1:11" ht="15" customHeight="1">
      <c r="A19" s="466"/>
      <c r="B19" s="422"/>
      <c r="C19" s="422"/>
      <c r="D19" s="422"/>
      <c r="E19" s="467"/>
      <c r="F19" s="421"/>
      <c r="G19" s="422"/>
      <c r="H19" s="422"/>
      <c r="I19" s="422"/>
      <c r="J19" s="422"/>
      <c r="K19" s="423"/>
    </row>
    <row r="20" spans="1:11" ht="15" customHeight="1">
      <c r="A20" s="424" t="str">
        <f>HLOOKUP(Language,Translation,11)</f>
        <v>DUNS-Number:</v>
      </c>
      <c r="B20" s="425"/>
      <c r="C20" s="425"/>
      <c r="D20" s="425"/>
      <c r="E20" s="426"/>
      <c r="F20" s="427" t="str">
        <f>HLOOKUP(Language,Translation,16)</f>
        <v>E-mail address:</v>
      </c>
      <c r="G20" s="369"/>
      <c r="H20" s="369"/>
      <c r="I20" s="369"/>
      <c r="J20" s="369"/>
      <c r="K20" s="372"/>
    </row>
    <row r="21" spans="1:11" ht="15" customHeight="1">
      <c r="A21" s="466"/>
      <c r="B21" s="422"/>
      <c r="C21" s="422"/>
      <c r="D21" s="422"/>
      <c r="E21" s="467"/>
      <c r="F21" s="376"/>
      <c r="G21" s="374"/>
      <c r="H21" s="374"/>
      <c r="I21" s="374"/>
      <c r="J21" s="374"/>
      <c r="K21" s="377"/>
    </row>
    <row r="22" spans="1:11" ht="15" customHeight="1">
      <c r="A22" s="424" t="str">
        <f>HLOOKUP(Language,Translation,12)</f>
        <v>Commercial register number:</v>
      </c>
      <c r="B22" s="425"/>
      <c r="C22" s="425"/>
      <c r="D22" s="425"/>
      <c r="E22" s="464" t="str">
        <f>HLOOKUP(Language,Translation,249)</f>
        <v>(Please attach a current extract from the commercial register (PDF))</v>
      </c>
      <c r="F22" s="464"/>
      <c r="G22" s="464"/>
      <c r="H22" s="464"/>
      <c r="I22" s="464"/>
      <c r="J22" s="464"/>
      <c r="K22" s="465"/>
    </row>
    <row r="23" spans="1:11" ht="15" customHeight="1" thickBot="1">
      <c r="A23" s="473"/>
      <c r="B23" s="474"/>
      <c r="C23" s="474"/>
      <c r="D23" s="474"/>
      <c r="E23" s="474"/>
      <c r="F23" s="474"/>
      <c r="G23" s="474"/>
      <c r="H23" s="474"/>
      <c r="I23" s="474"/>
      <c r="J23" s="474"/>
      <c r="K23" s="475"/>
    </row>
    <row r="24" spans="1:11" ht="16.5" customHeight="1">
      <c r="A24" s="455" t="str">
        <f>HLOOKUP(Language,Translation,20)</f>
        <v>Contacts</v>
      </c>
      <c r="B24" s="456"/>
      <c r="C24" s="456"/>
      <c r="D24" s="456"/>
      <c r="E24" s="456"/>
      <c r="F24" s="456"/>
      <c r="G24" s="456"/>
      <c r="H24" s="456"/>
      <c r="I24" s="456"/>
      <c r="J24" s="456"/>
      <c r="K24" s="457"/>
    </row>
    <row r="25" spans="1:11" ht="15">
      <c r="A25" s="454" t="str">
        <f>HLOOKUP(Language,Translation,22)&amp;":"</f>
        <v>Name:</v>
      </c>
      <c r="B25" s="447"/>
      <c r="C25" s="447" t="str">
        <f>HLOOKUP(Language,Translation,21)</f>
        <v>Function:</v>
      </c>
      <c r="D25" s="447"/>
      <c r="E25" s="447"/>
      <c r="F25" s="447" t="str">
        <f>HLOOKUP(Language,Translation,16)</f>
        <v>E-mail address:</v>
      </c>
      <c r="G25" s="447"/>
      <c r="H25" s="447"/>
      <c r="I25" s="447"/>
      <c r="J25" s="447" t="str">
        <f>HLOOKUP(Language,Translation,14)</f>
        <v>Telephone-No.:</v>
      </c>
      <c r="K25" s="448"/>
    </row>
    <row r="26" spans="1:11" ht="15" customHeight="1">
      <c r="A26" s="452"/>
      <c r="B26" s="453"/>
      <c r="C26" s="449"/>
      <c r="D26" s="449"/>
      <c r="E26" s="449"/>
      <c r="F26" s="449"/>
      <c r="G26" s="449"/>
      <c r="H26" s="449"/>
      <c r="I26" s="449"/>
      <c r="J26" s="450"/>
      <c r="K26" s="451"/>
    </row>
    <row r="27" spans="1:11" ht="15" customHeight="1">
      <c r="A27" s="452"/>
      <c r="B27" s="453"/>
      <c r="C27" s="449"/>
      <c r="D27" s="449"/>
      <c r="E27" s="449"/>
      <c r="F27" s="449"/>
      <c r="G27" s="449"/>
      <c r="H27" s="449"/>
      <c r="I27" s="449"/>
      <c r="J27" s="450"/>
      <c r="K27" s="451"/>
    </row>
    <row r="28" spans="1:11" ht="15" customHeight="1" thickBot="1">
      <c r="A28" s="470"/>
      <c r="B28" s="471"/>
      <c r="C28" s="472"/>
      <c r="D28" s="472"/>
      <c r="E28" s="472"/>
      <c r="F28" s="472"/>
      <c r="G28" s="472"/>
      <c r="H28" s="472"/>
      <c r="I28" s="472"/>
      <c r="J28" s="468"/>
      <c r="K28" s="469"/>
    </row>
    <row r="29" spans="1:11" ht="8.1" customHeight="1" thickBot="1">
      <c r="A29" s="22"/>
      <c r="B29" s="22"/>
      <c r="C29" s="22"/>
      <c r="D29" s="22"/>
      <c r="E29" s="22"/>
    </row>
    <row r="30" spans="1:11" ht="16.5" thickBot="1">
      <c r="A30" s="351" t="str">
        <f>HLOOKUP(Language,Translation,55)</f>
        <v>Financials</v>
      </c>
      <c r="B30" s="352"/>
      <c r="C30" s="352"/>
      <c r="D30" s="352"/>
      <c r="E30" s="352"/>
      <c r="F30" s="352"/>
      <c r="G30" s="352"/>
      <c r="H30" s="352"/>
      <c r="I30" s="352"/>
      <c r="J30" s="352"/>
      <c r="K30" s="353"/>
    </row>
    <row r="31" spans="1:11" ht="30" customHeight="1">
      <c r="A31" s="366" t="str">
        <f>HLOOKUP(Language,Translation,56)</f>
        <v>Risk Assurance</v>
      </c>
      <c r="B31" s="367"/>
      <c r="C31" s="367"/>
      <c r="D31" s="388" t="str">
        <f>HLOOKUP(Language,Translation,57)</f>
        <v>Available</v>
      </c>
      <c r="E31" s="389"/>
      <c r="F31" s="397" t="str">
        <f>HLOOKUP(Language,Translation,58)</f>
        <v>If No, planned date</v>
      </c>
      <c r="G31" s="397"/>
      <c r="H31" s="398"/>
      <c r="I31" s="388" t="str">
        <f>HLOOKUP(Language,Translation,59)</f>
        <v>Amount of Coverage</v>
      </c>
      <c r="J31" s="367"/>
      <c r="K31" s="399"/>
    </row>
    <row r="32" spans="1:11" ht="15" customHeight="1">
      <c r="A32" s="431" t="str">
        <f>HLOOKUP(Language,Translation,60)</f>
        <v xml:space="preserve">Public Liability Insurance </v>
      </c>
      <c r="B32" s="432"/>
      <c r="C32" s="433"/>
      <c r="D32" s="434" t="s">
        <v>75</v>
      </c>
      <c r="E32" s="435"/>
      <c r="F32" s="393"/>
      <c r="G32" s="394"/>
      <c r="H32" s="395"/>
      <c r="I32" s="386"/>
      <c r="J32" s="387"/>
      <c r="K32" s="90" t="s">
        <v>1181</v>
      </c>
    </row>
    <row r="33" spans="1:11" ht="15" customHeight="1">
      <c r="A33" s="390" t="str">
        <f>HLOOKUP(Language,Translation,61)</f>
        <v>Extended Product Liability Insurance</v>
      </c>
      <c r="B33" s="391"/>
      <c r="C33" s="392"/>
      <c r="D33" s="332" t="s">
        <v>75</v>
      </c>
      <c r="E33" s="333"/>
      <c r="F33" s="393"/>
      <c r="G33" s="394"/>
      <c r="H33" s="395"/>
      <c r="I33" s="386"/>
      <c r="J33" s="387"/>
      <c r="K33" s="90" t="s">
        <v>1181</v>
      </c>
    </row>
    <row r="34" spans="1:11" ht="15" customHeight="1">
      <c r="A34" s="390" t="str">
        <f>HLOOKUP(Language,Translation,62)</f>
        <v>Recall Cost Insurance</v>
      </c>
      <c r="B34" s="391"/>
      <c r="C34" s="392"/>
      <c r="D34" s="332" t="s">
        <v>75</v>
      </c>
      <c r="E34" s="358"/>
      <c r="F34" s="393"/>
      <c r="G34" s="394"/>
      <c r="H34" s="395"/>
      <c r="I34" s="386"/>
      <c r="J34" s="387"/>
      <c r="K34" s="90" t="s">
        <v>1181</v>
      </c>
    </row>
    <row r="35" spans="1:11" ht="27.75" customHeight="1" thickBot="1">
      <c r="A35" s="439" t="str">
        <f>HLOOKUP(Language,Translation,63)</f>
        <v>Note: Detailed explanations of the insurance that BENTELER suppliers must maintain and provide evidence of can be found in the Explanation spreadsheet.</v>
      </c>
      <c r="B35" s="440"/>
      <c r="C35" s="440"/>
      <c r="D35" s="440"/>
      <c r="E35" s="440"/>
      <c r="F35" s="440"/>
      <c r="G35" s="440"/>
      <c r="H35" s="440"/>
      <c r="I35" s="440"/>
      <c r="J35" s="440"/>
      <c r="K35" s="441"/>
    </row>
    <row r="36" spans="1:11" ht="15">
      <c r="A36" s="410" t="str">
        <f>HLOOKUP(Language,Translation,69)</f>
        <v>Bank Account(s)* – Wire Transfer Mandatory</v>
      </c>
      <c r="B36" s="411"/>
      <c r="C36" s="411"/>
      <c r="D36" s="411"/>
      <c r="E36" s="411"/>
      <c r="F36" s="411"/>
      <c r="G36" s="411"/>
      <c r="H36" s="411"/>
      <c r="I36" s="411"/>
      <c r="J36" s="411"/>
      <c r="K36" s="412"/>
    </row>
    <row r="37" spans="1:11">
      <c r="A37" s="436" t="str">
        <f>HLOOKUP(Language,Translation,70)</f>
        <v>*Please attach an official document stating the bank details (PDF)</v>
      </c>
      <c r="B37" s="437"/>
      <c r="C37" s="437"/>
      <c r="D37" s="437"/>
      <c r="E37" s="437"/>
      <c r="F37" s="437"/>
      <c r="G37" s="437"/>
      <c r="H37" s="437"/>
      <c r="I37" s="437"/>
      <c r="J37" s="437"/>
      <c r="K37" s="438"/>
    </row>
    <row r="38" spans="1:11" ht="28.5" customHeight="1">
      <c r="A38" s="443" t="str">
        <f>HLOOKUP(Language,Translation,71)</f>
        <v>Bank Name &amp; Address</v>
      </c>
      <c r="B38" s="444"/>
      <c r="C38" s="363" t="str">
        <f>HLOOKUP(Language,Translation,72)</f>
        <v>Account No.</v>
      </c>
      <c r="D38" s="363"/>
      <c r="E38" s="413" t="str">
        <f>HLOOKUP(Language,Translation,73)</f>
        <v>Routing No.</v>
      </c>
      <c r="F38" s="414"/>
      <c r="G38" s="363" t="str">
        <f>HLOOKUP(Language,Translation,74)</f>
        <v>SWIFT Code</v>
      </c>
      <c r="H38" s="363"/>
      <c r="I38" s="363" t="str">
        <f>HLOOKUP(Language,Translation,75)</f>
        <v>IBAN</v>
      </c>
      <c r="J38" s="363"/>
      <c r="K38" s="442"/>
    </row>
    <row r="39" spans="1:11">
      <c r="A39" s="257"/>
      <c r="B39" s="258"/>
      <c r="C39" s="258"/>
      <c r="D39" s="258"/>
      <c r="E39" s="258"/>
      <c r="F39" s="258"/>
      <c r="G39" s="258"/>
      <c r="H39" s="258"/>
      <c r="I39" s="400"/>
      <c r="J39" s="400"/>
      <c r="K39" s="401"/>
    </row>
    <row r="40" spans="1:11">
      <c r="A40" s="257"/>
      <c r="B40" s="258"/>
      <c r="C40" s="258"/>
      <c r="D40" s="258"/>
      <c r="E40" s="258"/>
      <c r="F40" s="258"/>
      <c r="G40" s="258"/>
      <c r="H40" s="258"/>
      <c r="I40" s="400"/>
      <c r="J40" s="400"/>
      <c r="K40" s="401"/>
    </row>
    <row r="41" spans="1:11" ht="13.5" thickBot="1">
      <c r="A41" s="345"/>
      <c r="B41" s="346"/>
      <c r="C41" s="346"/>
      <c r="D41" s="346"/>
      <c r="E41" s="346"/>
      <c r="F41" s="346"/>
      <c r="G41" s="346"/>
      <c r="H41" s="346"/>
      <c r="I41" s="402"/>
      <c r="J41" s="402"/>
      <c r="K41" s="403"/>
    </row>
    <row r="42" spans="1:11" ht="15.75">
      <c r="A42" s="404" t="str">
        <f>HLOOKUP(Language,Translation,246)</f>
        <v>Currency</v>
      </c>
      <c r="B42" s="405"/>
      <c r="C42" s="406"/>
      <c r="D42" s="407" t="s">
        <v>75</v>
      </c>
      <c r="E42" s="408"/>
      <c r="F42" s="408"/>
      <c r="G42" s="408"/>
      <c r="H42" s="408"/>
      <c r="I42" s="408"/>
      <c r="J42" s="408"/>
      <c r="K42" s="409"/>
    </row>
    <row r="43" spans="1:11" ht="16.5" thickBot="1">
      <c r="A43" s="317" t="str">
        <f>HLOOKUP(Language,Translation,77)</f>
        <v>Incoterm</v>
      </c>
      <c r="B43" s="318"/>
      <c r="C43" s="319"/>
      <c r="D43" s="320" t="s">
        <v>75</v>
      </c>
      <c r="E43" s="321"/>
      <c r="F43" s="321"/>
      <c r="G43" s="321"/>
      <c r="H43" s="321"/>
      <c r="I43" s="321"/>
      <c r="J43" s="321"/>
      <c r="K43" s="322"/>
    </row>
    <row r="44" spans="1:11" ht="13.5" thickBot="1"/>
    <row r="45" spans="1:11" ht="15.75" customHeight="1" thickBot="1">
      <c r="A45" s="351" t="str">
        <f>HLOOKUP(Language,Translation,135)</f>
        <v>Social and Enviromental Responsibility</v>
      </c>
      <c r="B45" s="352"/>
      <c r="C45" s="352"/>
      <c r="D45" s="352"/>
      <c r="E45" s="352"/>
      <c r="F45" s="352"/>
      <c r="G45" s="352"/>
      <c r="H45" s="352"/>
      <c r="I45" s="352"/>
      <c r="J45" s="352"/>
      <c r="K45" s="353"/>
    </row>
    <row r="46" spans="1:11" ht="7.5" customHeight="1" thickBot="1">
      <c r="A46" s="122"/>
      <c r="B46" s="37"/>
      <c r="C46" s="37"/>
      <c r="D46" s="37"/>
      <c r="E46" s="37"/>
      <c r="F46" s="37"/>
      <c r="G46" s="37"/>
      <c r="K46" s="123"/>
    </row>
    <row r="47" spans="1:11" ht="15.75" customHeight="1">
      <c r="A47" s="121">
        <v>1</v>
      </c>
      <c r="B47" s="354" t="str">
        <f>HLOOKUP(Language,Translation,140)</f>
        <v>Information on social and environmental responsibility and legal compliance</v>
      </c>
      <c r="C47" s="354"/>
      <c r="D47" s="354"/>
      <c r="E47" s="354"/>
      <c r="F47" s="354"/>
      <c r="G47" s="354"/>
      <c r="H47" s="354"/>
      <c r="I47" s="354"/>
      <c r="J47" s="354"/>
      <c r="K47" s="355"/>
    </row>
    <row r="48" spans="1:11" ht="90" customHeight="1" thickBot="1">
      <c r="A48" s="418" t="s">
        <v>33</v>
      </c>
      <c r="B48" s="359" t="str">
        <f>HLOOKUP(Language,Translation,141)</f>
        <v>All companies of the Benteler Group (hereafter called “BENTELER”) expect from their suppliers to comply with all applicable statutory obligations and the social and environmental standards as set out in the BENTELER Supplier Code of conduct. You can download it yourself from the homepage of the BENTELER Group (www.benteler.com), under the tap "Global Procurement". 
This is one of several conditions which are checked by BENTELER during the supplier on-boarding process.</v>
      </c>
      <c r="C48" s="360"/>
      <c r="D48" s="360"/>
      <c r="E48" s="360"/>
      <c r="F48" s="360"/>
      <c r="G48" s="360"/>
      <c r="H48" s="360"/>
      <c r="I48" s="360"/>
      <c r="J48" s="360"/>
      <c r="K48" s="361"/>
    </row>
    <row r="49" spans="1:11" ht="15.75" customHeight="1">
      <c r="A49" s="419"/>
      <c r="B49" s="335"/>
      <c r="C49" s="336"/>
      <c r="D49" s="336"/>
      <c r="E49" s="336"/>
      <c r="F49" s="336"/>
      <c r="G49" s="337"/>
      <c r="H49" s="38" t="str">
        <f>HLOOKUP(Language,Translation,191)</f>
        <v>Answer</v>
      </c>
      <c r="I49" s="262" t="str">
        <f>HLOOKUP(Language,Translation,42)</f>
        <v>Comments</v>
      </c>
      <c r="J49" s="263"/>
      <c r="K49" s="264"/>
    </row>
    <row r="50" spans="1:11" ht="66.75" customHeight="1" thickBot="1">
      <c r="A50" s="420"/>
      <c r="B50" s="265" t="str">
        <f>HLOOKUP(Language,Translation,142)</f>
        <v>Do you confirm that your company adheres to at least the same principles established in BENTELER's supplier code of conduct, including the corresponding obligations towards your company's own supply chain?</v>
      </c>
      <c r="C50" s="266"/>
      <c r="D50" s="266"/>
      <c r="E50" s="266"/>
      <c r="F50" s="266"/>
      <c r="G50" s="267"/>
      <c r="H50" s="124" t="s">
        <v>75</v>
      </c>
      <c r="I50" s="428"/>
      <c r="J50" s="429"/>
      <c r="K50" s="430"/>
    </row>
    <row r="51" spans="1:11" ht="15.75" customHeight="1">
      <c r="A51" s="121">
        <v>2</v>
      </c>
      <c r="B51" s="354" t="str">
        <f>HLOOKUP(Language,Translation,184)</f>
        <v>Information on breaches and infrangements</v>
      </c>
      <c r="C51" s="354"/>
      <c r="D51" s="354"/>
      <c r="E51" s="354"/>
      <c r="F51" s="354"/>
      <c r="G51" s="354"/>
      <c r="H51" s="354"/>
      <c r="I51" s="354"/>
      <c r="J51" s="354"/>
      <c r="K51" s="355"/>
    </row>
    <row r="52" spans="1:11" ht="115.5" customHeight="1" thickBot="1">
      <c r="A52" s="119" t="s">
        <v>32</v>
      </c>
      <c r="B52" s="415" t="str">
        <f>HLOOKUP(Language,Translation,185)</f>
        <v>Can you confirm that your company has not been convicted to pay fine or penalty during the last 24 months because of violations of the ban of child labor, the ban of forced labor, hindering freedom of association, corruption, environmental law provisions or Antitrust law provisions and that your company is not subject to any preliminary proceedings at the moment?</v>
      </c>
      <c r="C52" s="416"/>
      <c r="D52" s="416"/>
      <c r="E52" s="416"/>
      <c r="F52" s="416"/>
      <c r="G52" s="417"/>
      <c r="H52" s="120" t="s">
        <v>75</v>
      </c>
      <c r="I52" s="259"/>
      <c r="J52" s="260"/>
      <c r="K52" s="261"/>
    </row>
    <row r="53" spans="1:11" ht="13.5" thickBot="1"/>
    <row r="54" spans="1:11" ht="16.5" thickBot="1">
      <c r="A54" s="351" t="str">
        <f>HLOOKUP(Language,Translation,78)</f>
        <v>Certificates</v>
      </c>
      <c r="B54" s="352"/>
      <c r="C54" s="352"/>
      <c r="D54" s="352"/>
      <c r="E54" s="352"/>
      <c r="F54" s="352"/>
      <c r="G54" s="352"/>
      <c r="H54" s="352"/>
      <c r="I54" s="352"/>
      <c r="J54" s="352"/>
      <c r="K54" s="353"/>
    </row>
    <row r="55" spans="1:11" ht="7.5" customHeight="1" thickBot="1">
      <c r="A55" s="131"/>
      <c r="K55" s="123"/>
    </row>
    <row r="56" spans="1:11" ht="15">
      <c r="A56" s="347" t="str">
        <f>HLOOKUP(Language,Translation,64)</f>
        <v xml:space="preserve">Minority Certification </v>
      </c>
      <c r="B56" s="348"/>
      <c r="C56" s="349" t="str">
        <f>HLOOKUP(Language,Translation,65)</f>
        <v>(Only USA / South Africa)</v>
      </c>
      <c r="D56" s="349"/>
      <c r="E56" s="349"/>
      <c r="F56" s="349"/>
      <c r="G56" s="349"/>
      <c r="H56" s="349"/>
      <c r="I56" s="349"/>
      <c r="J56" s="349"/>
      <c r="K56" s="350"/>
    </row>
    <row r="57" spans="1:11" ht="15">
      <c r="A57" s="362"/>
      <c r="B57" s="363"/>
      <c r="C57" s="364" t="str">
        <f>HLOOKUP(Language,Translation,57)</f>
        <v>Available</v>
      </c>
      <c r="D57" s="365"/>
      <c r="E57" s="323" t="str">
        <f>HLOOKUP(Language,Translation,66)</f>
        <v>Expiration date</v>
      </c>
      <c r="F57" s="324"/>
      <c r="G57" s="325"/>
      <c r="H57" s="329" t="str">
        <f>HLOOKUP(Language,Translation,67)</f>
        <v>Type</v>
      </c>
      <c r="I57" s="330"/>
      <c r="J57" s="330"/>
      <c r="K57" s="331"/>
    </row>
    <row r="58" spans="1:11" ht="15.75" customHeight="1" thickBot="1">
      <c r="A58" s="356" t="str">
        <f>HLOOKUP(Language,Translation,68)</f>
        <v>Minority certified</v>
      </c>
      <c r="B58" s="357"/>
      <c r="C58" s="332" t="s">
        <v>75</v>
      </c>
      <c r="D58" s="358"/>
      <c r="E58" s="326"/>
      <c r="F58" s="327"/>
      <c r="G58" s="328"/>
      <c r="H58" s="332"/>
      <c r="I58" s="333"/>
      <c r="J58" s="333"/>
      <c r="K58" s="334"/>
    </row>
    <row r="59" spans="1:11" ht="15">
      <c r="A59" s="125" t="str">
        <f>HLOOKUP(Language,Translation,79)</f>
        <v>Management Certification</v>
      </c>
      <c r="B59" s="126"/>
      <c r="C59" s="126"/>
      <c r="D59" s="126"/>
      <c r="E59" s="126"/>
      <c r="F59" s="126"/>
      <c r="G59" s="126"/>
      <c r="H59" s="126"/>
      <c r="I59" s="126"/>
      <c r="J59" s="126"/>
      <c r="K59" s="127"/>
    </row>
    <row r="60" spans="1:11">
      <c r="A60" s="128" t="str">
        <f>HLOOKUP(Language,Translation,80)</f>
        <v>*Please attach a copy of the management certificates (PDF)</v>
      </c>
      <c r="B60" s="129"/>
      <c r="C60" s="129"/>
      <c r="D60" s="129"/>
      <c r="E60" s="129"/>
      <c r="F60" s="129"/>
      <c r="G60" s="129"/>
      <c r="H60" s="129"/>
      <c r="I60" s="129"/>
      <c r="J60" s="129"/>
      <c r="K60" s="130"/>
    </row>
    <row r="61" spans="1:11" ht="15" customHeight="1">
      <c r="A61" s="287" t="str">
        <f>HLOOKUP(Language,Translation,81)</f>
        <v>*Certificate</v>
      </c>
      <c r="B61" s="288"/>
      <c r="C61" s="295" t="str">
        <f>HLOOKUP(Language,Translation,57)</f>
        <v>Available</v>
      </c>
      <c r="D61" s="296"/>
      <c r="E61" s="303" t="str">
        <f>HLOOKUP(Language,Translation,58)</f>
        <v>If No, planned date</v>
      </c>
      <c r="F61" s="303"/>
      <c r="G61" s="304"/>
      <c r="H61" s="276" t="str">
        <f>HLOOKUP(Language,Translation,66)</f>
        <v>Expiration date</v>
      </c>
      <c r="I61" s="277"/>
      <c r="J61" s="276" t="str">
        <f>HLOOKUP(Language,Translation,88)</f>
        <v>Certification Organization</v>
      </c>
      <c r="K61" s="278"/>
    </row>
    <row r="62" spans="1:11" ht="15" customHeight="1">
      <c r="A62" s="289" t="str">
        <f>"**"&amp;HLOOKUP(Language,Translation,256)</f>
        <v>**Cyber Security</v>
      </c>
      <c r="B62" s="290"/>
      <c r="C62" s="297" t="s">
        <v>75</v>
      </c>
      <c r="D62" s="298"/>
      <c r="E62" s="279"/>
      <c r="F62" s="305"/>
      <c r="G62" s="280"/>
      <c r="H62" s="279"/>
      <c r="I62" s="280"/>
      <c r="J62" s="281"/>
      <c r="K62" s="282"/>
    </row>
    <row r="63" spans="1:11" ht="15" customHeight="1">
      <c r="A63" s="291"/>
      <c r="B63" s="292"/>
      <c r="C63" s="299"/>
      <c r="D63" s="300"/>
      <c r="E63" s="306" t="str">
        <f>HLOOKUP(Language,Translation,264)</f>
        <v>Release of your TISAX Scope ID is mandatory, BENTELER TISAX Participant ID:</v>
      </c>
      <c r="F63" s="307"/>
      <c r="G63" s="307"/>
      <c r="H63" s="307"/>
      <c r="I63" s="307"/>
      <c r="J63" s="283" t="s">
        <v>1259</v>
      </c>
      <c r="K63" s="284"/>
    </row>
    <row r="64" spans="1:11" ht="15" customHeight="1">
      <c r="A64" s="293"/>
      <c r="B64" s="294"/>
      <c r="C64" s="301"/>
      <c r="D64" s="302"/>
      <c r="E64" s="308"/>
      <c r="F64" s="309"/>
      <c r="G64" s="309"/>
      <c r="H64" s="309"/>
      <c r="I64" s="309"/>
      <c r="J64" s="285"/>
      <c r="K64" s="286"/>
    </row>
    <row r="65" spans="1:11" ht="15.75" customHeight="1" thickBot="1">
      <c r="A65" s="343" t="str">
        <f>"***"&amp;HLOOKUP(Language,Translation,105)</f>
        <v>***Further certificates</v>
      </c>
      <c r="B65" s="344"/>
      <c r="C65" s="382"/>
      <c r="D65" s="383"/>
      <c r="E65" s="383"/>
      <c r="F65" s="383"/>
      <c r="G65" s="383"/>
      <c r="H65" s="383"/>
      <c r="I65" s="383"/>
      <c r="J65" s="383"/>
      <c r="K65" s="384"/>
    </row>
    <row r="66" spans="1:11" ht="11.25" customHeight="1">
      <c r="A66" s="310" t="str">
        <f>HLOOKUP(Language,Translation,287)</f>
        <v>**Possible certificates: TISAX (preferred), ISO/IEC 27001, SOC 2, ISEA 3402, Self-Disclosure VDA ISA</v>
      </c>
      <c r="B66" s="310"/>
      <c r="C66" s="310"/>
      <c r="D66" s="310"/>
      <c r="E66" s="310"/>
      <c r="F66" s="310"/>
      <c r="G66" s="310"/>
      <c r="H66" s="310"/>
      <c r="I66" s="310"/>
      <c r="J66" s="310"/>
      <c r="K66" s="310"/>
    </row>
    <row r="67" spans="1:11" ht="11.25" customHeight="1">
      <c r="A67" s="385" t="str">
        <f>HLOOKUP(Language,Translation,293)</f>
        <v>***Possible certificates: ISO 9001, ISO 14001, ISO 45001 etc.</v>
      </c>
      <c r="B67" s="385"/>
      <c r="C67" s="385"/>
      <c r="D67" s="385"/>
      <c r="E67" s="385"/>
      <c r="F67" s="385"/>
      <c r="G67" s="385"/>
      <c r="H67" s="385"/>
      <c r="I67" s="385"/>
      <c r="J67" s="385"/>
      <c r="K67" s="385"/>
    </row>
    <row r="68" spans="1:11" ht="7.5" customHeight="1" thickBot="1"/>
    <row r="69" spans="1:11" ht="15.75" customHeight="1" thickBot="1">
      <c r="A69" s="341" t="str">
        <f>HLOOKUP(Language,Translation,256)</f>
        <v>Cyber Security</v>
      </c>
      <c r="B69" s="342"/>
      <c r="C69" s="342"/>
      <c r="D69" s="342"/>
      <c r="E69" s="342"/>
      <c r="F69" s="342"/>
      <c r="G69" s="342"/>
      <c r="H69" s="342"/>
      <c r="I69" s="342"/>
      <c r="J69" s="342"/>
      <c r="K69" s="117"/>
    </row>
    <row r="70" spans="1:11" ht="30" customHeight="1">
      <c r="A70" s="118" t="s">
        <v>33</v>
      </c>
      <c r="B70" s="338" t="str">
        <f>HLOOKUP(Language,Translation,257)</f>
        <v>Did your company implement procedures to comply to regulations of EU-GDPR?</v>
      </c>
      <c r="C70" s="339"/>
      <c r="D70" s="339"/>
      <c r="E70" s="339"/>
      <c r="F70" s="339"/>
      <c r="G70" s="339"/>
      <c r="H70" s="339"/>
      <c r="I70" s="339"/>
      <c r="J70" s="340"/>
      <c r="K70" s="25" t="s">
        <v>75</v>
      </c>
    </row>
    <row r="71" spans="1:11" ht="30" customHeight="1">
      <c r="A71" s="271" t="s">
        <v>34</v>
      </c>
      <c r="B71" s="311" t="str">
        <f>HLOOKUP(Language,Translation,220)</f>
        <v>You have not specified any certificates/ evidence on cybersecurity.</v>
      </c>
      <c r="C71" s="312"/>
      <c r="D71" s="312"/>
      <c r="E71" s="312"/>
      <c r="F71" s="312"/>
      <c r="G71" s="312"/>
      <c r="H71" s="312"/>
      <c r="I71" s="312"/>
      <c r="J71" s="312"/>
      <c r="K71" s="378"/>
    </row>
    <row r="72" spans="1:11" ht="30" customHeight="1">
      <c r="A72" s="272"/>
      <c r="B72" s="311" t="str">
        <f>HLOOKUP(Language,Translation,258)</f>
        <v>Did you implement a process to control and comply to relevant legal regulations, voluntary agreements with customers etc.?</v>
      </c>
      <c r="C72" s="312"/>
      <c r="D72" s="312"/>
      <c r="E72" s="312"/>
      <c r="F72" s="312"/>
      <c r="G72" s="312"/>
      <c r="H72" s="312"/>
      <c r="I72" s="312"/>
      <c r="J72" s="313"/>
      <c r="K72" s="116" t="s">
        <v>75</v>
      </c>
    </row>
    <row r="73" spans="1:11" ht="54" customHeight="1">
      <c r="A73" s="272"/>
      <c r="B73" s="274" t="str">
        <f>HLOOKUP(Language,Translation,261)</f>
        <v>Please explain your process:</v>
      </c>
      <c r="C73" s="275"/>
      <c r="D73" s="379"/>
      <c r="E73" s="380"/>
      <c r="F73" s="380"/>
      <c r="G73" s="380"/>
      <c r="H73" s="380"/>
      <c r="I73" s="380"/>
      <c r="J73" s="380"/>
      <c r="K73" s="381"/>
    </row>
    <row r="74" spans="1:11" ht="30" customHeight="1">
      <c r="A74" s="272"/>
      <c r="B74" s="311" t="str">
        <f>HLOOKUP(Language,Translation,278)</f>
        <v>How do you want to develope your management system to fulfill our cyber security requirements within the next maximum 18 months.</v>
      </c>
      <c r="C74" s="312"/>
      <c r="D74" s="312"/>
      <c r="E74" s="312"/>
      <c r="F74" s="312"/>
      <c r="G74" s="312"/>
      <c r="H74" s="312"/>
      <c r="I74" s="312"/>
      <c r="J74" s="312"/>
      <c r="K74" s="378"/>
    </row>
    <row r="75" spans="1:11" ht="54" customHeight="1">
      <c r="A75" s="273"/>
      <c r="B75" s="274" t="str">
        <f>HLOOKUP(Language,Translation,279)</f>
        <v>Please explain your Cyber Security Roadmap:</v>
      </c>
      <c r="C75" s="275"/>
      <c r="D75" s="314"/>
      <c r="E75" s="315"/>
      <c r="F75" s="315"/>
      <c r="G75" s="315"/>
      <c r="H75" s="315"/>
      <c r="I75" s="315"/>
      <c r="J75" s="315"/>
      <c r="K75" s="316"/>
    </row>
    <row r="76" spans="1:11" ht="63" customHeight="1">
      <c r="A76" s="114" t="s">
        <v>35</v>
      </c>
      <c r="B76" s="311" t="str">
        <f>HLOOKUP(Language,Translation,174)&amp;" "&amp;HLOOKUP(Language,Translation,175)</f>
        <v>Data processing systems must be protected against unauthorized access from the outside of the company as well as access by unauthorised persons within the organization. BENTELER expects that suppliers comply with the minimum local statutory requirements for securing electronic data. Do all your computers and data processing equipment come up to the latest national data protection laws and standards?</v>
      </c>
      <c r="C76" s="312"/>
      <c r="D76" s="312"/>
      <c r="E76" s="312"/>
      <c r="F76" s="312"/>
      <c r="G76" s="312"/>
      <c r="H76" s="312"/>
      <c r="I76" s="312"/>
      <c r="J76" s="313"/>
      <c r="K76" s="26" t="s">
        <v>75</v>
      </c>
    </row>
    <row r="77" spans="1:11" ht="30" customHeight="1">
      <c r="A77" s="114" t="s">
        <v>1216</v>
      </c>
      <c r="B77" s="311" t="str">
        <f>HLOOKUP(Language,Translation,259)</f>
        <v>Did your company implement a process to continuously improve the data protection, IT- and information security? (Program/Goals)</v>
      </c>
      <c r="C77" s="312"/>
      <c r="D77" s="312"/>
      <c r="E77" s="312"/>
      <c r="F77" s="312"/>
      <c r="G77" s="312"/>
      <c r="H77" s="312"/>
      <c r="I77" s="312"/>
      <c r="J77" s="313"/>
      <c r="K77" s="26" t="s">
        <v>75</v>
      </c>
    </row>
    <row r="78" spans="1:11" ht="30" customHeight="1" thickBot="1">
      <c r="A78" s="115" t="s">
        <v>1533</v>
      </c>
      <c r="B78" s="268" t="str">
        <f>HLOOKUP(Language,Translation,260)</f>
        <v>Do your associates get periodic trainings related to data protection, IT- and information security?</v>
      </c>
      <c r="C78" s="269"/>
      <c r="D78" s="269"/>
      <c r="E78" s="269"/>
      <c r="F78" s="269"/>
      <c r="G78" s="269"/>
      <c r="H78" s="269"/>
      <c r="I78" s="269"/>
      <c r="J78" s="270"/>
      <c r="K78" s="27" t="s">
        <v>75</v>
      </c>
    </row>
  </sheetData>
  <sheetProtection algorithmName="SHA-512" hashValue="e8iLeVQJL9wBDEH5zNN2yYBioT68bVTSXTYXBKCWujKwKYftnHkCYs4BG8Zx/GzA7VHdS9JpML1tw+ZtOutHbw==" saltValue="HodDBcnnTrxvgXbB0UclMQ==" spinCount="100000" sheet="1" selectLockedCells="1"/>
  <mergeCells count="150">
    <mergeCell ref="J28:K28"/>
    <mergeCell ref="A10:E10"/>
    <mergeCell ref="F21:K21"/>
    <mergeCell ref="A27:B27"/>
    <mergeCell ref="C27:E27"/>
    <mergeCell ref="F27:I27"/>
    <mergeCell ref="J27:K27"/>
    <mergeCell ref="A28:B28"/>
    <mergeCell ref="C28:E28"/>
    <mergeCell ref="F28:I28"/>
    <mergeCell ref="A21:E21"/>
    <mergeCell ref="A23:K23"/>
    <mergeCell ref="A22:D22"/>
    <mergeCell ref="E22:K22"/>
    <mergeCell ref="A19:E19"/>
    <mergeCell ref="A16:E16"/>
    <mergeCell ref="A1:J1"/>
    <mergeCell ref="J25:K25"/>
    <mergeCell ref="C26:E26"/>
    <mergeCell ref="J26:K26"/>
    <mergeCell ref="C25:E25"/>
    <mergeCell ref="F25:I25"/>
    <mergeCell ref="F26:I26"/>
    <mergeCell ref="A26:B26"/>
    <mergeCell ref="A25:B25"/>
    <mergeCell ref="A24:K24"/>
    <mergeCell ref="F16:K16"/>
    <mergeCell ref="F8:K8"/>
    <mergeCell ref="F9:K9"/>
    <mergeCell ref="A4:K4"/>
    <mergeCell ref="A5:K5"/>
    <mergeCell ref="F10:K10"/>
    <mergeCell ref="A6:K6"/>
    <mergeCell ref="A7:K7"/>
    <mergeCell ref="A9:E9"/>
    <mergeCell ref="A8:E8"/>
    <mergeCell ref="F11:K11"/>
    <mergeCell ref="A11:E11"/>
    <mergeCell ref="A17:E17"/>
    <mergeCell ref="F17:K17"/>
    <mergeCell ref="A32:C32"/>
    <mergeCell ref="D32:E32"/>
    <mergeCell ref="A37:K37"/>
    <mergeCell ref="C39:D39"/>
    <mergeCell ref="E39:F39"/>
    <mergeCell ref="G39:H39"/>
    <mergeCell ref="F32:H32"/>
    <mergeCell ref="I32:J32"/>
    <mergeCell ref="A33:C33"/>
    <mergeCell ref="D33:E33"/>
    <mergeCell ref="F33:H33"/>
    <mergeCell ref="A35:K35"/>
    <mergeCell ref="G38:H38"/>
    <mergeCell ref="I38:K38"/>
    <mergeCell ref="A38:B38"/>
    <mergeCell ref="A39:B39"/>
    <mergeCell ref="I39:K39"/>
    <mergeCell ref="A3:K3"/>
    <mergeCell ref="A30:K30"/>
    <mergeCell ref="A54:K54"/>
    <mergeCell ref="C40:D40"/>
    <mergeCell ref="E40:F40"/>
    <mergeCell ref="G40:H40"/>
    <mergeCell ref="I40:K40"/>
    <mergeCell ref="C41:D41"/>
    <mergeCell ref="E41:F41"/>
    <mergeCell ref="G41:H41"/>
    <mergeCell ref="I41:K41"/>
    <mergeCell ref="A42:C42"/>
    <mergeCell ref="D42:K42"/>
    <mergeCell ref="A36:K36"/>
    <mergeCell ref="C38:D38"/>
    <mergeCell ref="E38:F38"/>
    <mergeCell ref="B52:G52"/>
    <mergeCell ref="A48:A50"/>
    <mergeCell ref="F19:K19"/>
    <mergeCell ref="F18:K18"/>
    <mergeCell ref="A20:E20"/>
    <mergeCell ref="F20:K20"/>
    <mergeCell ref="I50:K50"/>
    <mergeCell ref="A18:E18"/>
    <mergeCell ref="A31:C31"/>
    <mergeCell ref="A12:E12"/>
    <mergeCell ref="F12:K12"/>
    <mergeCell ref="A13:E13"/>
    <mergeCell ref="F13:K13"/>
    <mergeCell ref="B74:K74"/>
    <mergeCell ref="B71:K71"/>
    <mergeCell ref="B72:J72"/>
    <mergeCell ref="D73:K73"/>
    <mergeCell ref="C65:K65"/>
    <mergeCell ref="A67:K67"/>
    <mergeCell ref="I33:J33"/>
    <mergeCell ref="D31:E31"/>
    <mergeCell ref="A34:C34"/>
    <mergeCell ref="D34:E34"/>
    <mergeCell ref="F34:H34"/>
    <mergeCell ref="I34:J34"/>
    <mergeCell ref="F14:K14"/>
    <mergeCell ref="A15:E15"/>
    <mergeCell ref="F15:K15"/>
    <mergeCell ref="A14:E14"/>
    <mergeCell ref="B47:K47"/>
    <mergeCell ref="F31:H31"/>
    <mergeCell ref="I31:K31"/>
    <mergeCell ref="A41:B41"/>
    <mergeCell ref="A56:B56"/>
    <mergeCell ref="C56:K56"/>
    <mergeCell ref="A45:K45"/>
    <mergeCell ref="B51:K51"/>
    <mergeCell ref="A58:B58"/>
    <mergeCell ref="C58:D58"/>
    <mergeCell ref="B48:K48"/>
    <mergeCell ref="A57:B57"/>
    <mergeCell ref="C57:D57"/>
    <mergeCell ref="A43:C43"/>
    <mergeCell ref="D43:K43"/>
    <mergeCell ref="E57:G57"/>
    <mergeCell ref="E58:G58"/>
    <mergeCell ref="H57:K57"/>
    <mergeCell ref="H58:K58"/>
    <mergeCell ref="B49:G49"/>
    <mergeCell ref="B76:J76"/>
    <mergeCell ref="B70:J70"/>
    <mergeCell ref="A69:J69"/>
    <mergeCell ref="A65:B65"/>
    <mergeCell ref="A40:B40"/>
    <mergeCell ref="I52:K52"/>
    <mergeCell ref="I49:K49"/>
    <mergeCell ref="B50:G50"/>
    <mergeCell ref="B78:J78"/>
    <mergeCell ref="A71:A75"/>
    <mergeCell ref="B73:C73"/>
    <mergeCell ref="B75:C75"/>
    <mergeCell ref="H61:I61"/>
    <mergeCell ref="J61:K61"/>
    <mergeCell ref="H62:I62"/>
    <mergeCell ref="J62:K62"/>
    <mergeCell ref="J63:K64"/>
    <mergeCell ref="A61:B61"/>
    <mergeCell ref="A62:B64"/>
    <mergeCell ref="C61:D61"/>
    <mergeCell ref="C62:D63"/>
    <mergeCell ref="C64:D64"/>
    <mergeCell ref="E61:G61"/>
    <mergeCell ref="E62:G62"/>
    <mergeCell ref="E63:I64"/>
    <mergeCell ref="A66:K66"/>
    <mergeCell ref="B77:J77"/>
    <mergeCell ref="D75:K75"/>
  </mergeCells>
  <phoneticPr fontId="5" type="noConversion"/>
  <conditionalFormatting sqref="A23 A19:K19 A17:K17 A15:K15 A11:K11 A9:K9 A5:K5 A6:A7 A26:K28">
    <cfRule type="containsBlanks" dxfId="96" priority="54">
      <formula>LEN(TRIM(A5))=0</formula>
    </cfRule>
  </conditionalFormatting>
  <conditionalFormatting sqref="A21:K21">
    <cfRule type="containsBlanks" dxfId="95" priority="48">
      <formula>LEN(TRIM(A21))=0</formula>
    </cfRule>
  </conditionalFormatting>
  <conditionalFormatting sqref="A13:K13">
    <cfRule type="containsBlanks" dxfId="94" priority="47">
      <formula>LEN(TRIM(A13))=0</formula>
    </cfRule>
  </conditionalFormatting>
  <conditionalFormatting sqref="F33 E58 H58 E62">
    <cfRule type="notContainsBlanks" dxfId="93" priority="36">
      <formula>LEN(TRIM(E33))&gt;0</formula>
    </cfRule>
  </conditionalFormatting>
  <conditionalFormatting sqref="F32:H32">
    <cfRule type="notContainsBlanks" dxfId="92" priority="37">
      <formula>LEN(TRIM(F32))&gt;0</formula>
    </cfRule>
  </conditionalFormatting>
  <conditionalFormatting sqref="F34:H34">
    <cfRule type="notContainsBlanks" dxfId="91" priority="34">
      <formula>LEN(TRIM(F34))&gt;0</formula>
    </cfRule>
  </conditionalFormatting>
  <conditionalFormatting sqref="A39:K39">
    <cfRule type="containsBlanks" dxfId="90" priority="33">
      <formula>LEN(TRIM(A39))=0</formula>
    </cfRule>
  </conditionalFormatting>
  <conditionalFormatting sqref="J63 J62:K62">
    <cfRule type="notContainsBlanks" dxfId="89" priority="16">
      <formula>LEN(TRIM(J62))&gt;0</formula>
    </cfRule>
  </conditionalFormatting>
  <conditionalFormatting sqref="H62:I62">
    <cfRule type="cellIs" dxfId="88" priority="24" operator="notBetween">
      <formula>TODAY()</formula>
      <formula>DATE(YEAR(TODAY())+3,MONTH(TODAY()),DAY(TODAY()-1))</formula>
    </cfRule>
  </conditionalFormatting>
  <conditionalFormatting sqref="E63">
    <cfRule type="notContainsBlanks" dxfId="87" priority="15">
      <formula>LEN(TRIM(E63))&gt;0</formula>
    </cfRule>
  </conditionalFormatting>
  <conditionalFormatting sqref="J62:K62 J63">
    <cfRule type="notContainsBlanks" dxfId="86" priority="25">
      <formula>LEN(TRIM(J62))&gt;0</formula>
    </cfRule>
  </conditionalFormatting>
  <conditionalFormatting sqref="E63">
    <cfRule type="notContainsBlanks" dxfId="85" priority="18">
      <formula>LEN(TRIM(E63))&gt;0</formula>
    </cfRule>
  </conditionalFormatting>
  <conditionalFormatting sqref="K76 D73 D75">
    <cfRule type="containsBlanks" dxfId="84" priority="12">
      <formula>LEN(TRIM(D73))=0</formula>
    </cfRule>
  </conditionalFormatting>
  <conditionalFormatting sqref="I50">
    <cfRule type="notContainsBlanks" dxfId="83" priority="5">
      <formula>LEN(TRIM(I50))&gt;0</formula>
    </cfRule>
  </conditionalFormatting>
  <conditionalFormatting sqref="I52">
    <cfRule type="notContainsBlanks" dxfId="82" priority="2">
      <formula>LEN(TRIM(I52))&gt;0</formula>
    </cfRule>
  </conditionalFormatting>
  <conditionalFormatting sqref="C65:K65">
    <cfRule type="containsBlanks" dxfId="81" priority="1">
      <formula>LEN(TRIM(C65))=0</formula>
    </cfRule>
  </conditionalFormatting>
  <dataValidations disablePrompts="1" count="6">
    <dataValidation type="list" allowBlank="1" showInputMessage="1" showErrorMessage="1" sqref="A13:E13" xr:uid="{CDBDB5BB-427D-4EEE-9872-CF97E05CDACC}">
      <formula1>Country</formula1>
    </dataValidation>
    <dataValidation type="decimal" operator="lessThanOrEqual" allowBlank="1" showInputMessage="1" showErrorMessage="1" sqref="I32:J34" xr:uid="{B5F2BFA6-60A2-4590-944C-D7BC5FB8A3EC}">
      <formula1>1000</formula1>
    </dataValidation>
    <dataValidation type="list" allowBlank="1" showInputMessage="1" showErrorMessage="1" sqref="D42:K42" xr:uid="{C992CAAC-3B31-4DC1-8472-FF65113FE7A2}">
      <formula1>Currency</formula1>
    </dataValidation>
    <dataValidation type="list" allowBlank="1" showInputMessage="1" showErrorMessage="1" sqref="D43:K43" xr:uid="{72753176-11D9-4F0C-977B-B0204CC9C6CE}">
      <formula1>Incoterms</formula1>
    </dataValidation>
    <dataValidation type="list" allowBlank="1" showInputMessage="1" showErrorMessage="1" sqref="D32:E34 C58:D58 K76:K78 K70 K72 H50 H52" xr:uid="{E4AD2B23-566D-4478-8BB7-3079DE55C940}">
      <formula1>Selection</formula1>
    </dataValidation>
    <dataValidation type="list" allowBlank="1" showInputMessage="1" showErrorMessage="1" sqref="C62" xr:uid="{A04ABC41-43E6-46E4-BF3C-75A239CE0791}">
      <formula1>CyberSecurity</formula1>
    </dataValidation>
  </dataValidations>
  <printOptions horizontalCentered="1"/>
  <pageMargins left="0.59055118110236227" right="0.35433070866141736" top="0.43307086614173229" bottom="0.59055118110236227" header="0.23622047244094491" footer="0.15748031496062992"/>
  <pageSetup scale="79" fitToHeight="2" orientation="portrait" r:id="rId1"/>
  <headerFooter alignWithMargins="0">
    <oddFooter>&amp;L&amp;6T.PU.082 Supplier Self Assessment and Approval Form / V1.5 / T.Schneider / 30.10.2023&amp;C&amp;1#&amp;8&amp;KA6A6A6restricted&amp;R&amp;6&amp;A   &amp;P/&amp;N</oddFooter>
  </headerFooter>
  <rowBreaks count="1" manualBreakCount="1">
    <brk id="44" max="10" man="1"/>
  </rowBreaks>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cellIs" priority="50" operator="equal" id="{D5641C4D-CA1E-4B8C-A4D5-5F9B7F788E65}">
            <xm:f>'Language table'!$B$3</xm:f>
            <x14:dxf>
              <fill>
                <patternFill>
                  <bgColor theme="0" tint="-0.14996795556505021"/>
                </patternFill>
              </fill>
            </x14:dxf>
          </x14:cfRule>
          <xm:sqref>A13</xm:sqref>
        </x14:conditionalFormatting>
        <x14:conditionalFormatting xmlns:xm="http://schemas.microsoft.com/office/excel/2006/main">
          <x14:cfRule type="expression" priority="43" id="{B23F0CC6-7A88-4779-AB81-8A24850B97C4}">
            <xm:f>$D$33='Language table'!$D$4</xm:f>
            <x14:dxf>
              <fill>
                <patternFill>
                  <bgColor theme="0" tint="-0.14996795556505021"/>
                </patternFill>
              </fill>
            </x14:dxf>
          </x14:cfRule>
          <xm:sqref>F33</xm:sqref>
        </x14:conditionalFormatting>
        <x14:conditionalFormatting xmlns:xm="http://schemas.microsoft.com/office/excel/2006/main">
          <x14:cfRule type="expression" priority="42" id="{AB64676C-8799-4A0A-8853-2819DFC98D58}">
            <xm:f>$D$32='Language table'!$D$4</xm:f>
            <x14:dxf>
              <fill>
                <patternFill>
                  <bgColor theme="0" tint="-0.14996795556505021"/>
                </patternFill>
              </fill>
            </x14:dxf>
          </x14:cfRule>
          <xm:sqref>F32</xm:sqref>
        </x14:conditionalFormatting>
        <x14:conditionalFormatting xmlns:xm="http://schemas.microsoft.com/office/excel/2006/main">
          <x14:cfRule type="cellIs" priority="44" operator="equal" id="{E62C1BED-54AD-46EA-9E76-28CDFAFEF034}">
            <xm:f>'Language table'!$B$3</xm:f>
            <x14:dxf>
              <fill>
                <patternFill>
                  <bgColor theme="0" tint="-0.14996795556505021"/>
                </patternFill>
              </fill>
            </x14:dxf>
          </x14:cfRule>
          <xm:sqref>D32:E34</xm:sqref>
        </x14:conditionalFormatting>
        <x14:conditionalFormatting xmlns:xm="http://schemas.microsoft.com/office/excel/2006/main">
          <x14:cfRule type="cellIs" priority="41" operator="equal" id="{5A41B697-A610-4024-B0F3-B06A1E52CAEC}">
            <xm:f>'Language table'!$B$3</xm:f>
            <x14:dxf>
              <fill>
                <patternFill>
                  <bgColor theme="0" tint="-0.14996795556505021"/>
                </patternFill>
              </fill>
            </x14:dxf>
          </x14:cfRule>
          <xm:sqref>C58:D58</xm:sqref>
        </x14:conditionalFormatting>
        <x14:conditionalFormatting xmlns:xm="http://schemas.microsoft.com/office/excel/2006/main">
          <x14:cfRule type="cellIs" priority="40" operator="equal" id="{F2C6F411-D0E4-436B-9EBC-2AAC2B64B5BD}">
            <xm:f>'Language table'!$B$3</xm:f>
            <x14:dxf>
              <fill>
                <patternFill>
                  <bgColor theme="0" tint="-0.14996795556505021"/>
                </patternFill>
              </fill>
            </x14:dxf>
          </x14:cfRule>
          <xm:sqref>D42</xm:sqref>
        </x14:conditionalFormatting>
        <x14:conditionalFormatting xmlns:xm="http://schemas.microsoft.com/office/excel/2006/main">
          <x14:cfRule type="cellIs" priority="38" operator="equal" id="{E977B089-4E77-4B48-9423-EB917005B989}">
            <xm:f>'Language table'!$B$3</xm:f>
            <x14:dxf>
              <fill>
                <patternFill>
                  <bgColor theme="0" tint="-0.14996795556505021"/>
                </patternFill>
              </fill>
            </x14:dxf>
          </x14:cfRule>
          <xm:sqref>D43</xm:sqref>
        </x14:conditionalFormatting>
        <x14:conditionalFormatting xmlns:xm="http://schemas.microsoft.com/office/excel/2006/main">
          <x14:cfRule type="expression" priority="35" id="{33A77C85-4222-40C9-8EF7-5EFB7080D592}">
            <xm:f>$D$34='Language table'!$D$4</xm:f>
            <x14:dxf>
              <fill>
                <patternFill>
                  <bgColor theme="0" tint="-0.14996795556505021"/>
                </patternFill>
              </fill>
            </x14:dxf>
          </x14:cfRule>
          <xm:sqref>F34:H34</xm:sqref>
        </x14:conditionalFormatting>
        <x14:conditionalFormatting xmlns:xm="http://schemas.microsoft.com/office/excel/2006/main">
          <x14:cfRule type="expression" priority="45" id="{E0D1D9C7-8695-4CEC-A34A-3BF93FF64921}">
            <xm:f>$C$58='Language table'!$C$4</xm:f>
            <x14:dxf>
              <fill>
                <patternFill>
                  <bgColor theme="0" tint="-0.14996795556505021"/>
                </patternFill>
              </fill>
            </x14:dxf>
          </x14:cfRule>
          <xm:sqref>E58 H58</xm:sqref>
        </x14:conditionalFormatting>
        <x14:conditionalFormatting xmlns:xm="http://schemas.microsoft.com/office/excel/2006/main">
          <x14:cfRule type="expression" priority="28" id="{16AE9226-4BF1-4C40-A03E-5454F84ABBF6}">
            <xm:f>AND($D$33&lt;&gt;'Language table'!$B$4,$I$6="")</xm:f>
            <x14:dxf>
              <fill>
                <patternFill>
                  <bgColor theme="0" tint="-0.14996795556505021"/>
                </patternFill>
              </fill>
            </x14:dxf>
          </x14:cfRule>
          <xm:sqref>I33:J33</xm:sqref>
        </x14:conditionalFormatting>
        <x14:conditionalFormatting xmlns:xm="http://schemas.microsoft.com/office/excel/2006/main">
          <x14:cfRule type="expression" priority="27" id="{1A1E03B3-4E1D-445D-A887-77F27A5DB1A4}">
            <xm:f>AND($D$34&lt;&gt;'Language table'!$B$4,$I$7="")</xm:f>
            <x14:dxf>
              <fill>
                <patternFill>
                  <bgColor theme="0" tint="-0.14996795556505021"/>
                </patternFill>
              </fill>
            </x14:dxf>
          </x14:cfRule>
          <xm:sqref>I34:J34</xm:sqref>
        </x14:conditionalFormatting>
        <x14:conditionalFormatting xmlns:xm="http://schemas.microsoft.com/office/excel/2006/main">
          <x14:cfRule type="expression" priority="32" id="{9E36ADA1-9CF3-4822-9602-2214FB576E26}">
            <xm:f>AND($D$32&lt;&gt;'Language table'!$B$4,$I$5="")</xm:f>
            <x14:dxf>
              <fill>
                <patternFill>
                  <bgColor theme="0" tint="-0.14996795556505021"/>
                </patternFill>
              </fill>
            </x14:dxf>
          </x14:cfRule>
          <xm:sqref>I32:J32</xm:sqref>
        </x14:conditionalFormatting>
        <x14:conditionalFormatting xmlns:xm="http://schemas.microsoft.com/office/excel/2006/main">
          <x14:cfRule type="expression" priority="31" id="{2CB76189-196D-4DB4-8ED5-5DFACA7F769B}">
            <xm:f>$D$5='Language table'!$B$4</xm:f>
            <x14:dxf>
              <font>
                <color theme="0"/>
              </font>
            </x14:dxf>
          </x14:cfRule>
          <xm:sqref>K32</xm:sqref>
        </x14:conditionalFormatting>
        <x14:conditionalFormatting xmlns:xm="http://schemas.microsoft.com/office/excel/2006/main">
          <x14:cfRule type="expression" priority="30" id="{98A98920-02EC-4A7A-A766-FE74F173A613}">
            <xm:f>$D$6='Language table'!$B$4</xm:f>
            <x14:dxf>
              <font>
                <color theme="0"/>
              </font>
            </x14:dxf>
          </x14:cfRule>
          <xm:sqref>K33</xm:sqref>
        </x14:conditionalFormatting>
        <x14:conditionalFormatting xmlns:xm="http://schemas.microsoft.com/office/excel/2006/main">
          <x14:cfRule type="expression" priority="29" id="{030E77BB-E648-4669-A42D-0DE96060F637}">
            <xm:f>$D$7='Language table'!$B$4</xm:f>
            <x14:dxf>
              <font>
                <color theme="0"/>
              </font>
            </x14:dxf>
          </x14:cfRule>
          <xm:sqref>K34</xm:sqref>
        </x14:conditionalFormatting>
        <x14:conditionalFormatting xmlns:xm="http://schemas.microsoft.com/office/excel/2006/main">
          <x14:cfRule type="expression" priority="22" id="{B293678A-465A-4713-A9AB-07DDAE6BFD83}">
            <xm:f>$C$62='Language table'!$D$4</xm:f>
            <x14:dxf>
              <fill>
                <patternFill>
                  <bgColor theme="0" tint="-0.14996795556505021"/>
                </patternFill>
              </fill>
            </x14:dxf>
          </x14:cfRule>
          <xm:sqref>E62:E63</xm:sqref>
        </x14:conditionalFormatting>
        <x14:conditionalFormatting xmlns:xm="http://schemas.microsoft.com/office/excel/2006/main">
          <x14:cfRule type="expression" priority="21" id="{5F278BCC-756E-48CB-ACD4-6711A76498A6}">
            <xm:f>AND($C$62='Language table'!$C$4,$J$28="")</xm:f>
            <x14:dxf>
              <fill>
                <patternFill>
                  <bgColor theme="0" tint="-0.14996795556505021"/>
                </patternFill>
              </fill>
            </x14:dxf>
          </x14:cfRule>
          <xm:sqref>J63 J62:K62</xm:sqref>
        </x14:conditionalFormatting>
        <x14:conditionalFormatting xmlns:xm="http://schemas.microsoft.com/office/excel/2006/main">
          <x14:cfRule type="cellIs" priority="20" operator="equal" id="{F02B3892-6692-431E-B23D-4DB2D470A337}">
            <xm:f>'Language table'!$B$3</xm:f>
            <x14:dxf>
              <fill>
                <patternFill>
                  <bgColor theme="0" tint="-0.14996795556505021"/>
                </patternFill>
              </fill>
            </x14:dxf>
          </x14:cfRule>
          <xm:sqref>C62</xm:sqref>
        </x14:conditionalFormatting>
        <x14:conditionalFormatting xmlns:xm="http://schemas.microsoft.com/office/excel/2006/main">
          <x14:cfRule type="expression" priority="14" id="{BE034E7C-91AD-42C6-B5BA-B5E32907CB33}">
            <xm:f>AND($C$62='Language table'!$C$4,$H$28="")</xm:f>
            <x14:dxf>
              <fill>
                <patternFill>
                  <bgColor theme="0" tint="-0.14996795556505021"/>
                </patternFill>
              </fill>
            </x14:dxf>
          </x14:cfRule>
          <x14:cfRule type="expression" priority="17" id="{CCF8E4EE-935D-4CE1-9BF0-4FD23F3BC276}">
            <xm:f>OR($C$62='Language table'!$D$4,$C$62='Language table'!$B$4)</xm:f>
            <x14:dxf>
              <fill>
                <patternFill>
                  <bgColor theme="0"/>
                </patternFill>
              </fill>
            </x14:dxf>
          </x14:cfRule>
          <xm:sqref>H62:I62</xm:sqref>
        </x14:conditionalFormatting>
        <x14:conditionalFormatting xmlns:xm="http://schemas.microsoft.com/office/excel/2006/main">
          <x14:cfRule type="expression" priority="26" id="{E4849AC4-AA50-4E47-B70B-E5489C1AB1A9}">
            <xm:f>OR($C$62='Language table'!$E$38,$C$62='Language table'!$E$39)</xm:f>
            <x14:dxf>
              <font>
                <b/>
                <i val="0"/>
                <color auto="1"/>
              </font>
            </x14:dxf>
          </x14:cfRule>
          <xm:sqref>E63 J63</xm:sqref>
        </x14:conditionalFormatting>
        <x14:conditionalFormatting xmlns:xm="http://schemas.microsoft.com/office/excel/2006/main">
          <x14:cfRule type="expression" priority="297" id="{A21C8A2B-C641-4B23-A819-D97A49204D93}">
            <xm:f>AND($C$62='Language table'!$E$43,$D$30="")</xm:f>
            <x14:dxf>
              <fill>
                <patternFill>
                  <bgColor theme="0" tint="-0.14996795556505021"/>
                </patternFill>
              </fill>
            </x14:dxf>
          </x14:cfRule>
          <xm:sqref>C64</xm:sqref>
        </x14:conditionalFormatting>
        <x14:conditionalFormatting xmlns:xm="http://schemas.microsoft.com/office/excel/2006/main">
          <x14:cfRule type="cellIs" priority="11" operator="equal" id="{2F5DBAFB-8CE5-40DB-98D7-ECDF1BD80294}">
            <xm:f>'Language table'!$B$3</xm:f>
            <x14:dxf>
              <fill>
                <patternFill>
                  <bgColor theme="0" tint="-0.14996795556505021"/>
                </patternFill>
              </fill>
            </x14:dxf>
          </x14:cfRule>
          <xm:sqref>K76:K78 K70 K72</xm:sqref>
        </x14:conditionalFormatting>
        <x14:conditionalFormatting xmlns:xm="http://schemas.microsoft.com/office/excel/2006/main">
          <x14:cfRule type="expression" priority="9" id="{652700B5-0B19-4209-AC98-F2FC1DE7B2FB}">
            <xm:f>$C$62&lt;&gt;'Language table'!$D$4</xm:f>
            <x14:dxf>
              <font>
                <color theme="0"/>
              </font>
              <fill>
                <patternFill>
                  <bgColor theme="0"/>
                </patternFill>
              </fill>
              <border>
                <left/>
                <right/>
                <top/>
                <bottom/>
              </border>
            </x14:dxf>
          </x14:cfRule>
          <xm:sqref>A69:K78</xm:sqref>
        </x14:conditionalFormatting>
        <x14:conditionalFormatting xmlns:xm="http://schemas.microsoft.com/office/excel/2006/main">
          <x14:cfRule type="cellIs" priority="7" operator="equal" id="{0374B927-1FB4-4462-919F-592AF307E49C}">
            <xm:f>'Language table'!$B$3</xm:f>
            <x14:dxf>
              <fill>
                <patternFill>
                  <bgColor theme="0" tint="-0.14996795556505021"/>
                </patternFill>
              </fill>
            </x14:dxf>
          </x14:cfRule>
          <xm:sqref>H50</xm:sqref>
        </x14:conditionalFormatting>
        <x14:conditionalFormatting xmlns:xm="http://schemas.microsoft.com/office/excel/2006/main">
          <x14:cfRule type="cellIs" priority="4" operator="equal" id="{4D530E79-EC44-46A7-8159-279DB24178F9}">
            <xm:f>'Language table'!$B$3</xm:f>
            <x14:dxf>
              <fill>
                <patternFill>
                  <bgColor theme="0" tint="-0.14996795556505021"/>
                </patternFill>
              </fill>
            </x14:dxf>
          </x14:cfRule>
          <xm:sqref>H52</xm:sqref>
        </x14:conditionalFormatting>
        <x14:conditionalFormatting xmlns:xm="http://schemas.microsoft.com/office/excel/2006/main">
          <x14:cfRule type="expression" priority="3" id="{5F630108-1732-44F3-82D9-DC3EF0D8D560}">
            <xm:f>OR(H50='Language table'!$D$6,H50='Language table'!$E$6)</xm:f>
            <x14:dxf>
              <fill>
                <patternFill>
                  <bgColor theme="0" tint="-0.14996795556505021"/>
                </patternFill>
              </fill>
            </x14:dxf>
          </x14:cfRule>
          <xm:sqref>I50 I52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017FA-0625-4A30-9C8E-EA3BD7E19FC9}">
  <sheetPr>
    <pageSetUpPr fitToPage="1"/>
  </sheetPr>
  <dimension ref="A1:R57"/>
  <sheetViews>
    <sheetView zoomScale="120" zoomScaleNormal="120" zoomScaleSheetLayoutView="120" workbookViewId="0"/>
  </sheetViews>
  <sheetFormatPr baseColWidth="10" defaultColWidth="11.42578125" defaultRowHeight="12.75"/>
  <cols>
    <col min="1" max="1" width="11.85546875" style="49" customWidth="1"/>
    <col min="2" max="2" width="11.42578125" style="49"/>
    <col min="3" max="3" width="4.7109375" style="49" customWidth="1"/>
    <col min="4" max="4" width="6.140625" style="49" customWidth="1"/>
    <col min="5" max="6" width="6" style="49" customWidth="1"/>
    <col min="7" max="10" width="6.42578125" style="49" customWidth="1"/>
    <col min="11" max="11" width="11.42578125" style="49" customWidth="1"/>
    <col min="12" max="12" width="11.42578125" style="49"/>
    <col min="13" max="14" width="6.140625" style="49" customWidth="1"/>
    <col min="15" max="16384" width="11.42578125" style="49"/>
  </cols>
  <sheetData>
    <row r="1" spans="1:16" ht="42" customHeight="1" thickBot="1">
      <c r="A1" s="91" t="s">
        <v>1183</v>
      </c>
      <c r="B1" s="540" t="str">
        <f>HLOOKUP(Language,Translation,195)</f>
        <v>Supplier Approval Form</v>
      </c>
      <c r="C1" s="540"/>
      <c r="D1" s="540"/>
      <c r="E1" s="540"/>
      <c r="F1" s="540"/>
      <c r="G1" s="540"/>
      <c r="H1" s="540"/>
      <c r="I1" s="540"/>
      <c r="J1" s="540"/>
      <c r="K1" s="540"/>
      <c r="L1" s="541"/>
      <c r="M1" s="541"/>
      <c r="N1" s="542"/>
    </row>
    <row r="2" spans="1:16" ht="8.25" customHeight="1" thickBot="1"/>
    <row r="3" spans="1:16" ht="15.75" customHeight="1" thickBot="1">
      <c r="A3" s="551" t="str">
        <f>HLOOKUP(Language,Translation,226)</f>
        <v>Requester (Buyer)</v>
      </c>
      <c r="B3" s="552"/>
      <c r="C3" s="552"/>
      <c r="D3" s="552"/>
      <c r="E3" s="552"/>
      <c r="F3" s="552"/>
      <c r="G3" s="552"/>
      <c r="H3" s="552"/>
      <c r="I3" s="552"/>
      <c r="J3" s="552"/>
      <c r="K3" s="552"/>
      <c r="L3" s="552"/>
      <c r="M3" s="552"/>
      <c r="N3" s="553"/>
    </row>
    <row r="4" spans="1:16" ht="15" customHeight="1">
      <c r="A4" s="68" t="str">
        <f>HLOOKUP(Language,Translation,22)&amp;":"</f>
        <v>Name:</v>
      </c>
      <c r="B4" s="556"/>
      <c r="C4" s="557"/>
      <c r="D4" s="557"/>
      <c r="E4" s="557"/>
      <c r="F4" s="558"/>
      <c r="G4" s="559" t="str">
        <f>HLOOKUP(Language,Translation,227)</f>
        <v>Buyer Code:</v>
      </c>
      <c r="H4" s="559"/>
      <c r="I4" s="560"/>
      <c r="J4" s="67"/>
      <c r="K4" s="66" t="str">
        <f>HLOOKUP(Language,Translation,92)&amp;":"</f>
        <v>Date:</v>
      </c>
      <c r="L4" s="554"/>
      <c r="M4" s="555"/>
      <c r="N4" s="65"/>
    </row>
    <row r="5" spans="1:16" ht="15" customHeight="1">
      <c r="A5" s="561" t="str">
        <f>HLOOKUP(Language,Translation,303)</f>
        <v>The supplier is to be used in the following SAP system:</v>
      </c>
      <c r="B5" s="562"/>
      <c r="C5" s="562"/>
      <c r="D5" s="562"/>
      <c r="E5" s="562"/>
      <c r="F5" s="562"/>
      <c r="G5" s="562"/>
      <c r="H5" s="563" t="s">
        <v>75</v>
      </c>
      <c r="I5" s="564"/>
      <c r="J5" s="152"/>
      <c r="K5" s="152"/>
      <c r="L5" s="152"/>
      <c r="M5" s="152"/>
      <c r="N5" s="153"/>
    </row>
    <row r="6" spans="1:16" ht="26.25" customHeight="1" thickBot="1">
      <c r="A6" s="548" t="str">
        <f>IF(B4="",HLOOKUP(Language,Translation,230),HLOOKUP(Language,Translation,225))</f>
        <v>!!! For use by BENTELER only !!!</v>
      </c>
      <c r="B6" s="549"/>
      <c r="C6" s="549"/>
      <c r="D6" s="549"/>
      <c r="E6" s="549"/>
      <c r="F6" s="549"/>
      <c r="G6" s="549"/>
      <c r="H6" s="549"/>
      <c r="I6" s="549"/>
      <c r="J6" s="549"/>
      <c r="K6" s="549"/>
      <c r="L6" s="549"/>
      <c r="M6" s="549"/>
      <c r="N6" s="550"/>
      <c r="P6" s="58"/>
    </row>
    <row r="7" spans="1:16" ht="8.25" customHeight="1" thickBot="1">
      <c r="A7" s="50"/>
      <c r="O7" s="59"/>
    </row>
    <row r="8" spans="1:16" ht="15.75" customHeight="1" thickBot="1">
      <c r="A8" s="499" t="str">
        <f>"A:"&amp;" "&amp;HLOOKUP(Language,Translation,197)</f>
        <v>A: Supplier Information:</v>
      </c>
      <c r="B8" s="500"/>
      <c r="C8" s="500"/>
      <c r="D8" s="500"/>
      <c r="E8" s="500"/>
      <c r="F8" s="500"/>
      <c r="G8" s="500"/>
      <c r="H8" s="500"/>
      <c r="I8" s="500"/>
      <c r="J8" s="500"/>
      <c r="K8" s="500"/>
      <c r="L8" s="500"/>
      <c r="M8" s="500"/>
      <c r="N8" s="543"/>
    </row>
    <row r="9" spans="1:16" ht="16.5" customHeight="1">
      <c r="A9" s="63" t="str">
        <f>HLOOKUP(Language,Translation,5)&amp;":"</f>
        <v>Company name:</v>
      </c>
      <c r="B9" s="544">
        <f>'Company Profile'!A5</f>
        <v>0</v>
      </c>
      <c r="C9" s="545"/>
      <c r="D9" s="545"/>
      <c r="E9" s="545"/>
      <c r="F9" s="545"/>
      <c r="G9" s="546"/>
      <c r="H9" s="544" t="str">
        <f>HLOOKUP(Language,Translation,196)&amp;":"</f>
        <v>Contact Person:</v>
      </c>
      <c r="I9" s="545"/>
      <c r="J9" s="546"/>
      <c r="K9" s="544">
        <f>'Company Profile'!F11</f>
        <v>0</v>
      </c>
      <c r="L9" s="545"/>
      <c r="M9" s="545"/>
      <c r="N9" s="547"/>
    </row>
    <row r="10" spans="1:16" ht="21.75" customHeight="1">
      <c r="A10" s="60" t="str">
        <f>HLOOKUP(Language,Translation,6)</f>
        <v>Facility Address:</v>
      </c>
      <c r="B10" s="476">
        <f>'Company Profile'!A9</f>
        <v>0</v>
      </c>
      <c r="C10" s="477"/>
      <c r="D10" s="477"/>
      <c r="E10" s="477"/>
      <c r="F10" s="477"/>
      <c r="G10" s="478"/>
      <c r="H10" s="476" t="str">
        <f>HLOOKUP(Language,Translation,21)</f>
        <v>Function:</v>
      </c>
      <c r="I10" s="477"/>
      <c r="J10" s="478"/>
      <c r="K10" s="476">
        <f>'Company Profile'!F13</f>
        <v>0</v>
      </c>
      <c r="L10" s="477"/>
      <c r="M10" s="477"/>
      <c r="N10" s="479"/>
    </row>
    <row r="11" spans="1:16" ht="21.75" customHeight="1">
      <c r="A11" s="60" t="str">
        <f>HLOOKUP(Language,Translation,7)</f>
        <v>Post code, City, State:</v>
      </c>
      <c r="B11" s="476">
        <f>'Company Profile'!A11</f>
        <v>0</v>
      </c>
      <c r="C11" s="477"/>
      <c r="D11" s="477"/>
      <c r="E11" s="477"/>
      <c r="F11" s="477"/>
      <c r="G11" s="478"/>
      <c r="H11" s="476" t="str">
        <f>HLOOKUP(Language,Translation,269)</f>
        <v>Language of communication:</v>
      </c>
      <c r="I11" s="477"/>
      <c r="J11" s="478"/>
      <c r="K11" s="476">
        <f>'Company Profile'!F15</f>
        <v>0</v>
      </c>
      <c r="L11" s="477"/>
      <c r="M11" s="477"/>
      <c r="N11" s="479"/>
    </row>
    <row r="12" spans="1:16" ht="16.5" customHeight="1">
      <c r="A12" s="60" t="str">
        <f>HLOOKUP(Language,Translation,8)</f>
        <v>Country:</v>
      </c>
      <c r="B12" s="476" t="str">
        <f>'Company Profile'!A13</f>
        <v>Please select!</v>
      </c>
      <c r="C12" s="477"/>
      <c r="D12" s="477"/>
      <c r="E12" s="477"/>
      <c r="F12" s="477"/>
      <c r="G12" s="478"/>
      <c r="H12" s="476" t="str">
        <f>HLOOKUP(Language,Translation,14)</f>
        <v>Telephone-No.:</v>
      </c>
      <c r="I12" s="477"/>
      <c r="J12" s="478"/>
      <c r="K12" s="476">
        <f>'Company Profile'!F17</f>
        <v>0</v>
      </c>
      <c r="L12" s="477"/>
      <c r="M12" s="477"/>
      <c r="N12" s="479"/>
    </row>
    <row r="13" spans="1:16" ht="16.5" customHeight="1">
      <c r="A13" s="60" t="str">
        <f>HLOOKUP(Language,Translation,11)</f>
        <v>DUNS-Number:</v>
      </c>
      <c r="B13" s="476">
        <f>'Company Profile'!A21</f>
        <v>0</v>
      </c>
      <c r="C13" s="477"/>
      <c r="D13" s="477"/>
      <c r="E13" s="477"/>
      <c r="F13" s="477"/>
      <c r="G13" s="478"/>
      <c r="H13" s="476" t="str">
        <f>HLOOKUP(Language,Translation,15)</f>
        <v>Fax-No.:</v>
      </c>
      <c r="I13" s="477"/>
      <c r="J13" s="478"/>
      <c r="K13" s="476">
        <f>'Company Profile'!F19</f>
        <v>0</v>
      </c>
      <c r="L13" s="477"/>
      <c r="M13" s="477"/>
      <c r="N13" s="479"/>
    </row>
    <row r="14" spans="1:16" ht="16.5" customHeight="1">
      <c r="A14" s="480" t="str">
        <f>HLOOKUP(Language,Translation,268)</f>
        <v>Tax identification number:</v>
      </c>
      <c r="B14" s="477"/>
      <c r="C14" s="478"/>
      <c r="D14" s="476">
        <f>'Company Profile'!A17</f>
        <v>0</v>
      </c>
      <c r="E14" s="477"/>
      <c r="F14" s="477"/>
      <c r="G14" s="478"/>
      <c r="H14" s="476" t="str">
        <f>HLOOKUP(Language,Translation,16)</f>
        <v>E-mail address:</v>
      </c>
      <c r="I14" s="477"/>
      <c r="J14" s="478"/>
      <c r="K14" s="476">
        <f>'Company Profile'!F21</f>
        <v>0</v>
      </c>
      <c r="L14" s="477"/>
      <c r="M14" s="477"/>
      <c r="N14" s="479"/>
    </row>
    <row r="15" spans="1:16" ht="16.5" customHeight="1" thickBot="1">
      <c r="A15" s="481" t="str">
        <f>HLOOKUP(Language,Translation,10)</f>
        <v>VAT-Number:</v>
      </c>
      <c r="B15" s="482"/>
      <c r="C15" s="483"/>
      <c r="D15" s="486">
        <f>'Company Profile'!A19</f>
        <v>0</v>
      </c>
      <c r="E15" s="482"/>
      <c r="F15" s="482"/>
      <c r="G15" s="483"/>
      <c r="H15" s="486" t="str">
        <f>HLOOKUP(Language,Translation,12)</f>
        <v>Commercial register number:</v>
      </c>
      <c r="I15" s="482"/>
      <c r="J15" s="482"/>
      <c r="K15" s="483"/>
      <c r="L15" s="486">
        <f>'Company Profile'!A23</f>
        <v>0</v>
      </c>
      <c r="M15" s="482"/>
      <c r="N15" s="487"/>
    </row>
    <row r="16" spans="1:16" ht="8.25" customHeight="1" thickBot="1">
      <c r="A16" s="51"/>
    </row>
    <row r="17" spans="1:15" ht="15.75" customHeight="1" thickBot="1">
      <c r="A17" s="499" t="str">
        <f>"B:"&amp;" "&amp;HLOOKUP(Language,Translation,199)</f>
        <v>B: Vendor Class &amp; Material Class</v>
      </c>
      <c r="B17" s="500"/>
      <c r="C17" s="500"/>
      <c r="D17" s="500"/>
      <c r="E17" s="500"/>
      <c r="F17" s="500"/>
      <c r="G17" s="500"/>
      <c r="H17" s="501" t="str">
        <f>HLOOKUP(Language,Translation,245)</f>
        <v>(MC acc. to: BS.PU.002.An.01 / BST_PR_AD026)</v>
      </c>
      <c r="I17" s="501"/>
      <c r="J17" s="501"/>
      <c r="K17" s="501"/>
      <c r="L17" s="501"/>
      <c r="M17" s="501"/>
      <c r="N17" s="502"/>
    </row>
    <row r="18" spans="1:15" ht="13.5" customHeight="1">
      <c r="A18" s="628" t="str">
        <f>HLOOKUP(Language,Translation,3)</f>
        <v>Vendor Class:</v>
      </c>
      <c r="B18" s="629"/>
      <c r="C18" s="629"/>
      <c r="D18" s="629"/>
      <c r="E18" s="578" t="str">
        <f>"1."&amp;" "&amp;HLOOKUP(Language,Translation,200)</f>
        <v xml:space="preserve">1. Material Class:   </v>
      </c>
      <c r="F18" s="578"/>
      <c r="G18" s="578"/>
      <c r="H18" s="578"/>
      <c r="I18" s="578"/>
      <c r="J18" s="578"/>
      <c r="K18" s="578" t="str">
        <f>"3."&amp;" "&amp;HLOOKUP(Language,Translation,200)</f>
        <v xml:space="preserve">3. Material Class:   </v>
      </c>
      <c r="L18" s="578"/>
      <c r="M18" s="578"/>
      <c r="N18" s="579"/>
    </row>
    <row r="19" spans="1:15" ht="13.5" customHeight="1">
      <c r="A19" s="633" t="s">
        <v>1528</v>
      </c>
      <c r="B19" s="634"/>
      <c r="C19" s="634"/>
      <c r="D19" s="634"/>
      <c r="E19" s="494"/>
      <c r="F19" s="494"/>
      <c r="G19" s="494"/>
      <c r="H19" s="494"/>
      <c r="I19" s="494"/>
      <c r="J19" s="494"/>
      <c r="K19" s="494"/>
      <c r="L19" s="494"/>
      <c r="M19" s="494"/>
      <c r="N19" s="495"/>
    </row>
    <row r="20" spans="1:15" ht="13.5" customHeight="1">
      <c r="A20" s="633"/>
      <c r="B20" s="634"/>
      <c r="C20" s="634"/>
      <c r="D20" s="634"/>
      <c r="E20" s="485" t="str">
        <f>"2."&amp;" "&amp;HLOOKUP(Language,Translation,200)</f>
        <v xml:space="preserve">2. Material Class:   </v>
      </c>
      <c r="F20" s="485"/>
      <c r="G20" s="485"/>
      <c r="H20" s="485"/>
      <c r="I20" s="485"/>
      <c r="J20" s="485"/>
      <c r="K20" s="485" t="str">
        <f>"4."&amp;" "&amp;HLOOKUP(Language,Translation,200)</f>
        <v xml:space="preserve">4. Material Class:   </v>
      </c>
      <c r="L20" s="485"/>
      <c r="M20" s="485"/>
      <c r="N20" s="493"/>
    </row>
    <row r="21" spans="1:15" ht="13.5" customHeight="1" thickBot="1">
      <c r="A21" s="635"/>
      <c r="B21" s="636"/>
      <c r="C21" s="636"/>
      <c r="D21" s="636"/>
      <c r="E21" s="492"/>
      <c r="F21" s="492"/>
      <c r="G21" s="492"/>
      <c r="H21" s="492"/>
      <c r="I21" s="492"/>
      <c r="J21" s="492"/>
      <c r="K21" s="492"/>
      <c r="L21" s="492"/>
      <c r="M21" s="492"/>
      <c r="N21" s="577"/>
    </row>
    <row r="22" spans="1:15" ht="8.25" customHeight="1" thickBot="1">
      <c r="A22" s="52"/>
    </row>
    <row r="23" spans="1:15" ht="15.75" customHeight="1" thickBot="1">
      <c r="A23" s="551" t="str">
        <f>"C:"&amp;" "&amp;HLOOKUP(Language,Translation,201)</f>
        <v>C: Information Required</v>
      </c>
      <c r="B23" s="552"/>
      <c r="C23" s="552"/>
      <c r="D23" s="552"/>
      <c r="E23" s="552"/>
      <c r="F23" s="552"/>
      <c r="G23" s="552"/>
      <c r="H23" s="552"/>
      <c r="I23" s="552"/>
      <c r="J23" s="552"/>
      <c r="K23" s="552"/>
      <c r="L23" s="552"/>
      <c r="M23" s="552"/>
      <c r="N23" s="553"/>
    </row>
    <row r="24" spans="1:15" ht="21" customHeight="1">
      <c r="A24" s="630" t="str">
        <f>HLOOKUP(Language,Translation,205)</f>
        <v>Requirement</v>
      </c>
      <c r="B24" s="631"/>
      <c r="C24" s="632"/>
      <c r="D24" s="53" t="str">
        <f>HLOOKUP(Language,Translation,206)</f>
        <v>Mandatory*:</v>
      </c>
      <c r="E24" s="488" t="str">
        <f>HLOOKUP(Language,Translation,247)&amp;"?"</f>
        <v>Enclosed?</v>
      </c>
      <c r="F24" s="489"/>
      <c r="G24" s="488" t="str">
        <f>HLOOKUP(Language,Translation,93)</f>
        <v>Result</v>
      </c>
      <c r="H24" s="588"/>
      <c r="I24" s="588"/>
      <c r="J24" s="588"/>
      <c r="K24" s="488" t="str">
        <f>HLOOKUP(Language,Translation,42)</f>
        <v>Comments</v>
      </c>
      <c r="L24" s="588"/>
      <c r="M24" s="588"/>
      <c r="N24" s="589"/>
    </row>
    <row r="25" spans="1:15" ht="21" customHeight="1">
      <c r="A25" s="484" t="str">
        <f>"T.PU.082"&amp;" "&amp;HLOOKUP(Language,Translation,2)</f>
        <v>T.PU.082 Supplier Self-Assessment</v>
      </c>
      <c r="B25" s="485"/>
      <c r="C25" s="485"/>
      <c r="D25" s="54" t="s">
        <v>225</v>
      </c>
      <c r="E25" s="490" t="s">
        <v>75</v>
      </c>
      <c r="F25" s="491"/>
      <c r="G25" s="590" t="s">
        <v>1587</v>
      </c>
      <c r="H25" s="591"/>
      <c r="I25" s="640" t="str">
        <f>IF('Company Profile'!H50='Language table'!D4,HLOOKUP(Language,Translation,290),IF('Company Profile'!H52='Language table'!D4,HLOOKUP(Language,Translation,289),IF(OR('Company Profile'!H50='Language table'!B4,'Company Profile'!H52='Language table'!B4),HLOOKUP(Language,Translation,294),HLOOKUP(Language,Translation,291))))</f>
        <v>Information in "Company Profile" section "Social and Enviromental Responsibility" missing!</v>
      </c>
      <c r="J25" s="641"/>
      <c r="K25" s="641"/>
      <c r="L25" s="641"/>
      <c r="M25" s="641"/>
      <c r="N25" s="642"/>
    </row>
    <row r="26" spans="1:15" ht="12.75" customHeight="1">
      <c r="A26" s="574" t="str">
        <f>HLOOKUP(Language,Translation,79)</f>
        <v>Management Certification</v>
      </c>
      <c r="B26" s="651" t="str">
        <f>HLOOKUP(Language,Translation,256)&amp;":"</f>
        <v>Cyber Security:</v>
      </c>
      <c r="C26" s="610"/>
      <c r="D26" s="637" t="s">
        <v>1661</v>
      </c>
      <c r="E26" s="565" t="s">
        <v>75</v>
      </c>
      <c r="F26" s="566"/>
      <c r="G26" s="590" t="str">
        <f t="shared" ref="G26" si="0">HLOOKUP(Language,Translation,66)&amp;":"</f>
        <v>Expiration date:</v>
      </c>
      <c r="H26" s="591"/>
      <c r="I26" s="592">
        <f>'Company Profile'!H62</f>
        <v>0</v>
      </c>
      <c r="J26" s="593"/>
      <c r="K26" s="599"/>
      <c r="L26" s="600"/>
      <c r="M26" s="600"/>
      <c r="N26" s="601"/>
      <c r="O26" s="59"/>
    </row>
    <row r="27" spans="1:15" ht="12.75" customHeight="1">
      <c r="A27" s="575"/>
      <c r="B27" s="594" t="str">
        <f>'Company Profile'!C62</f>
        <v>Please select!</v>
      </c>
      <c r="C27" s="595"/>
      <c r="D27" s="652"/>
      <c r="E27" s="567"/>
      <c r="F27" s="568"/>
      <c r="G27" s="597" t="str">
        <f>HLOOKUP(Language,Translation,288)</f>
        <v>Cyber Security Category:</v>
      </c>
      <c r="H27" s="598"/>
      <c r="I27" s="598"/>
      <c r="J27" s="134" t="s">
        <v>1584</v>
      </c>
      <c r="K27" s="602"/>
      <c r="L27" s="603"/>
      <c r="M27" s="603"/>
      <c r="N27" s="604"/>
      <c r="O27" s="59"/>
    </row>
    <row r="28" spans="1:15">
      <c r="A28" s="576"/>
      <c r="B28" s="596"/>
      <c r="C28" s="508"/>
      <c r="D28" s="638"/>
      <c r="E28" s="569"/>
      <c r="F28" s="570"/>
      <c r="G28" s="571" t="s">
        <v>75</v>
      </c>
      <c r="H28" s="572"/>
      <c r="I28" s="572"/>
      <c r="J28" s="573"/>
      <c r="K28" s="605"/>
      <c r="L28" s="606"/>
      <c r="M28" s="606"/>
      <c r="N28" s="607"/>
    </row>
    <row r="29" spans="1:15" ht="24" customHeight="1">
      <c r="A29" s="484" t="str">
        <f>IF(OR(VC='Language table'!C3,VC='Language table'!D3),HLOOKUP(Language,Translation,203),HLOOKUP(Language,Translation,228))</f>
        <v>BENTELER General Terms and Conditions</v>
      </c>
      <c r="B29" s="485"/>
      <c r="C29" s="485"/>
      <c r="D29" s="54" t="s">
        <v>225</v>
      </c>
      <c r="E29" s="490" t="s">
        <v>75</v>
      </c>
      <c r="F29" s="491"/>
      <c r="G29" s="496"/>
      <c r="H29" s="497"/>
      <c r="I29" s="497"/>
      <c r="J29" s="498"/>
      <c r="K29" s="648"/>
      <c r="L29" s="649"/>
      <c r="M29" s="649"/>
      <c r="N29" s="650"/>
    </row>
    <row r="30" spans="1:15" ht="22.5" customHeight="1">
      <c r="A30" s="608" t="str">
        <f>HLOOKUP(Language,Translation,208)</f>
        <v>Proof of Insurance</v>
      </c>
      <c r="B30" s="609"/>
      <c r="C30" s="610"/>
      <c r="D30" s="646" t="s">
        <v>1661</v>
      </c>
      <c r="E30" s="612" t="s">
        <v>75</v>
      </c>
      <c r="F30" s="613"/>
      <c r="G30" s="613"/>
      <c r="H30" s="613"/>
      <c r="I30" s="613"/>
      <c r="J30" s="613"/>
      <c r="K30" s="613"/>
      <c r="L30" s="613"/>
      <c r="M30" s="613"/>
      <c r="N30" s="614"/>
    </row>
    <row r="31" spans="1:15" ht="12.75" customHeight="1">
      <c r="A31" s="507"/>
      <c r="B31" s="611"/>
      <c r="C31" s="508"/>
      <c r="D31" s="647"/>
      <c r="E31" s="476" t="str">
        <f>HLOOKUP(Language,Translation,216)</f>
        <v>All required insurance certificates according to x¹ attached:</v>
      </c>
      <c r="F31" s="477"/>
      <c r="G31" s="477"/>
      <c r="H31" s="477"/>
      <c r="I31" s="477"/>
      <c r="J31" s="477"/>
      <c r="K31" s="477"/>
      <c r="L31" s="478"/>
      <c r="M31" s="490" t="s">
        <v>75</v>
      </c>
      <c r="N31" s="639"/>
    </row>
    <row r="32" spans="1:15" ht="12.75" customHeight="1">
      <c r="A32" s="608" t="str">
        <f>HLOOKUP(Language,Translation,265)</f>
        <v>Business Partner Check</v>
      </c>
      <c r="B32" s="609"/>
      <c r="C32" s="609"/>
      <c r="D32" s="637" t="s">
        <v>225</v>
      </c>
      <c r="E32" s="643" t="str">
        <f>HLOOKUP(Language,Translation,266)</f>
        <v>Sanction list check conducted, Business Partner is listed</v>
      </c>
      <c r="F32" s="644"/>
      <c r="G32" s="644"/>
      <c r="H32" s="644"/>
      <c r="I32" s="644"/>
      <c r="J32" s="644"/>
      <c r="K32" s="644"/>
      <c r="L32" s="645"/>
      <c r="M32" s="490" t="s">
        <v>75</v>
      </c>
      <c r="N32" s="639"/>
    </row>
    <row r="33" spans="1:18">
      <c r="A33" s="507"/>
      <c r="B33" s="611"/>
      <c r="C33" s="611"/>
      <c r="D33" s="638"/>
      <c r="E33" s="596" t="e">
        <f>IF(VLOOKUP('Company Profile'!A13,BPC,3,FALSE)=100,HLOOKUP(Language,Translation,272),IF(VLOOKUP('Company Profile'!A13,BPC,3,FALSE)=1,HLOOKUP(Language,Translation,271),""))</f>
        <v>#N/A</v>
      </c>
      <c r="F33" s="611"/>
      <c r="G33" s="611"/>
      <c r="H33" s="611"/>
      <c r="I33" s="611"/>
      <c r="J33" s="611"/>
      <c r="K33" s="611"/>
      <c r="L33" s="508"/>
      <c r="M33" s="490" t="s">
        <v>75</v>
      </c>
      <c r="N33" s="639"/>
    </row>
    <row r="34" spans="1:18">
      <c r="A34" s="71" t="str">
        <f>HLOOKUP(Language,Translation,246)&amp;":"</f>
        <v>Currency:</v>
      </c>
      <c r="B34" s="582" t="str">
        <f>'Company Profile'!D42</f>
        <v>Please select!</v>
      </c>
      <c r="C34" s="583"/>
      <c r="D34" s="583"/>
      <c r="E34" s="583"/>
      <c r="F34" s="584"/>
      <c r="G34" s="580" t="str">
        <f>HLOOKUP(Language,Translation,77)&amp;":"</f>
        <v>Incoterm:</v>
      </c>
      <c r="H34" s="581"/>
      <c r="I34" s="585" t="str">
        <f>'Company Profile'!D43</f>
        <v>Please select!</v>
      </c>
      <c r="J34" s="586"/>
      <c r="K34" s="586"/>
      <c r="L34" s="586"/>
      <c r="M34" s="586"/>
      <c r="N34" s="587"/>
      <c r="O34" s="59"/>
    </row>
    <row r="35" spans="1:18" ht="15.75" customHeight="1" thickBot="1">
      <c r="A35" s="625" t="str">
        <f>HLOOKUP(Language,Translation,207)</f>
        <v>x = yes; x¹ = acc. to BS.PU.002.An.01 / BST_PR_AD026</v>
      </c>
      <c r="B35" s="626"/>
      <c r="C35" s="626"/>
      <c r="D35" s="626"/>
      <c r="E35" s="626"/>
      <c r="F35" s="626"/>
      <c r="G35" s="626"/>
      <c r="H35" s="626"/>
      <c r="I35" s="626"/>
      <c r="J35" s="626"/>
      <c r="K35" s="626"/>
      <c r="L35" s="626"/>
      <c r="M35" s="626"/>
      <c r="N35" s="627"/>
    </row>
    <row r="36" spans="1:18" ht="12.75" customHeight="1">
      <c r="A36" s="653" t="str">
        <f>HLOOKUP(Language,Translation,42)&amp;":"</f>
        <v>Comments:</v>
      </c>
      <c r="B36" s="654"/>
      <c r="C36" s="655"/>
      <c r="D36" s="655"/>
      <c r="E36" s="655"/>
      <c r="F36" s="655"/>
      <c r="G36" s="655"/>
      <c r="H36" s="655"/>
      <c r="I36" s="655"/>
      <c r="J36" s="655"/>
      <c r="K36" s="655"/>
      <c r="L36" s="655"/>
      <c r="M36" s="655"/>
      <c r="N36" s="656"/>
    </row>
    <row r="37" spans="1:18" ht="90" customHeight="1" thickBot="1">
      <c r="A37" s="657"/>
      <c r="B37" s="658"/>
      <c r="C37" s="658"/>
      <c r="D37" s="658"/>
      <c r="E37" s="658"/>
      <c r="F37" s="658"/>
      <c r="G37" s="658"/>
      <c r="H37" s="658"/>
      <c r="I37" s="658"/>
      <c r="J37" s="658"/>
      <c r="K37" s="658"/>
      <c r="L37" s="658"/>
      <c r="M37" s="658"/>
      <c r="N37" s="659"/>
    </row>
    <row r="38" spans="1:18" ht="19.5" customHeight="1">
      <c r="A38" s="618" t="str">
        <f>HLOOKUP(Language,Translation,238)</f>
        <v>Decision by:</v>
      </c>
      <c r="B38" s="619"/>
      <c r="C38" s="673"/>
      <c r="D38" s="673"/>
      <c r="E38" s="673"/>
      <c r="F38" s="673"/>
      <c r="G38" s="673"/>
      <c r="H38" s="673"/>
      <c r="I38" s="673"/>
      <c r="J38" s="673"/>
      <c r="K38" s="673"/>
      <c r="L38" s="673"/>
      <c r="M38" s="673"/>
      <c r="N38" s="674"/>
    </row>
    <row r="39" spans="1:18" ht="34.5" customHeight="1">
      <c r="A39" s="56" t="str">
        <f>HLOOKUP(Language,Translation,208)&amp;":"</f>
        <v>Proof of Insurance:</v>
      </c>
      <c r="B39" s="515" t="str">
        <f>HLOOKUP(Language,Translation,212)</f>
        <v>Insurance Department</v>
      </c>
      <c r="C39" s="516"/>
      <c r="D39" s="516"/>
      <c r="E39" s="516"/>
      <c r="F39" s="516"/>
      <c r="G39" s="516"/>
      <c r="H39" s="665" t="str">
        <f>HLOOKUP(Language,Translation,256)&amp;":"</f>
        <v>Cyber Security:</v>
      </c>
      <c r="I39" s="666"/>
      <c r="J39" s="515" t="str">
        <f>HLOOKUP(Language,Translation,267)</f>
        <v>Regional Information Security Expert (RISE) / Regional Information Security Representative (RISR) / Cyber Security Board (CSB)</v>
      </c>
      <c r="K39" s="516"/>
      <c r="L39" s="516"/>
      <c r="M39" s="516"/>
      <c r="N39" s="517"/>
    </row>
    <row r="40" spans="1:18" ht="12" customHeight="1">
      <c r="A40" s="112" t="str">
        <f>HLOOKUP(Language,Translation,231)&amp;":"</f>
        <v>Decision:</v>
      </c>
      <c r="B40" s="520" t="s">
        <v>75</v>
      </c>
      <c r="C40" s="521"/>
      <c r="D40" s="521"/>
      <c r="E40" s="521"/>
      <c r="F40" s="521"/>
      <c r="G40" s="525"/>
      <c r="H40" s="518" t="str">
        <f>HLOOKUP(Language,Translation,231)&amp;":"</f>
        <v>Decision:</v>
      </c>
      <c r="I40" s="519"/>
      <c r="J40" s="520" t="s">
        <v>75</v>
      </c>
      <c r="K40" s="521"/>
      <c r="L40" s="521"/>
      <c r="M40" s="521"/>
      <c r="N40" s="525"/>
    </row>
    <row r="41" spans="1:18" ht="48" customHeight="1">
      <c r="A41" s="112" t="str">
        <f>HLOOKUP(Language,Translation,42)&amp;":"</f>
        <v>Comments:</v>
      </c>
      <c r="B41" s="520"/>
      <c r="C41" s="521"/>
      <c r="D41" s="521"/>
      <c r="E41" s="521"/>
      <c r="F41" s="521"/>
      <c r="G41" s="521"/>
      <c r="H41" s="518" t="str">
        <f>HLOOKUP(Language,Translation,42)&amp;":"</f>
        <v>Comments:</v>
      </c>
      <c r="I41" s="519"/>
      <c r="J41" s="522"/>
      <c r="K41" s="523"/>
      <c r="L41" s="523"/>
      <c r="M41" s="523"/>
      <c r="N41" s="524"/>
    </row>
    <row r="42" spans="1:18" ht="12.75" customHeight="1">
      <c r="A42" s="57" t="str">
        <f>HLOOKUP(Language,Translation,22)&amp;":"</f>
        <v>Name:</v>
      </c>
      <c r="B42" s="520"/>
      <c r="C42" s="521"/>
      <c r="D42" s="521"/>
      <c r="E42" s="521"/>
      <c r="F42" s="521"/>
      <c r="G42" s="521"/>
      <c r="H42" s="480" t="str">
        <f>HLOOKUP(Language,Translation,22)&amp;":"</f>
        <v>Name:</v>
      </c>
      <c r="I42" s="478"/>
      <c r="J42" s="522"/>
      <c r="K42" s="523"/>
      <c r="L42" s="523"/>
      <c r="M42" s="523"/>
      <c r="N42" s="524"/>
    </row>
    <row r="43" spans="1:18" ht="30.75" customHeight="1" thickBot="1">
      <c r="A43" s="64" t="str">
        <f>HLOOKUP(Language,Translation,242)</f>
        <v>Signature / Date:</v>
      </c>
      <c r="B43" s="663"/>
      <c r="C43" s="664"/>
      <c r="D43" s="664"/>
      <c r="E43" s="664"/>
      <c r="F43" s="664"/>
      <c r="G43" s="664"/>
      <c r="H43" s="481" t="str">
        <f>HLOOKUP(Language,Translation,242)</f>
        <v>Signature / Date:</v>
      </c>
      <c r="I43" s="483"/>
      <c r="J43" s="615"/>
      <c r="K43" s="616"/>
      <c r="L43" s="616"/>
      <c r="M43" s="616"/>
      <c r="N43" s="617"/>
    </row>
    <row r="44" spans="1:18" ht="8.25" customHeight="1" thickBot="1">
      <c r="A44" s="55"/>
      <c r="B44" s="55"/>
      <c r="C44" s="55"/>
      <c r="D44" s="55"/>
      <c r="E44" s="55"/>
      <c r="F44" s="55"/>
      <c r="G44" s="55"/>
      <c r="H44" s="55"/>
      <c r="I44" s="55"/>
      <c r="J44" s="55"/>
      <c r="K44" s="55"/>
      <c r="L44" s="55"/>
      <c r="M44" s="55"/>
      <c r="N44" s="55"/>
    </row>
    <row r="45" spans="1:18" ht="15.75" customHeight="1" thickBot="1">
      <c r="A45" s="551" t="str">
        <f>"D:"&amp;" "&amp;HLOOKUP(Language,Translation,231)</f>
        <v>D: Decision</v>
      </c>
      <c r="B45" s="552"/>
      <c r="C45" s="552"/>
      <c r="D45" s="552"/>
      <c r="E45" s="552"/>
      <c r="F45" s="552"/>
      <c r="G45" s="552"/>
      <c r="H45" s="552"/>
      <c r="I45" s="552"/>
      <c r="J45" s="552"/>
      <c r="K45" s="552"/>
      <c r="L45" s="552"/>
      <c r="M45" s="552"/>
      <c r="N45" s="553"/>
    </row>
    <row r="46" spans="1:18">
      <c r="A46" s="505" t="str">
        <f>HLOOKUP(Language,Translation,198)</f>
        <v>BENTELER Supplier (Vendor) No.:</v>
      </c>
      <c r="B46" s="506"/>
      <c r="C46" s="509"/>
      <c r="D46" s="510"/>
      <c r="E46" s="511"/>
      <c r="F46" s="677"/>
      <c r="G46" s="678"/>
      <c r="H46" s="678"/>
      <c r="I46" s="678"/>
      <c r="J46" s="678"/>
      <c r="K46" s="678"/>
      <c r="L46" s="678"/>
      <c r="M46" s="678"/>
      <c r="N46" s="679"/>
    </row>
    <row r="47" spans="1:18">
      <c r="A47" s="507"/>
      <c r="B47" s="508"/>
      <c r="C47" s="512"/>
      <c r="D47" s="513"/>
      <c r="E47" s="514"/>
      <c r="F47" s="680"/>
      <c r="G47" s="681"/>
      <c r="H47" s="681"/>
      <c r="I47" s="681"/>
      <c r="J47" s="681"/>
      <c r="K47" s="681"/>
      <c r="L47" s="681"/>
      <c r="M47" s="681"/>
      <c r="N47" s="682"/>
    </row>
    <row r="48" spans="1:18" ht="19.5" customHeight="1">
      <c r="A48" s="675" t="str">
        <f>HLOOKUP(Language,Translation,235)</f>
        <v>Approval status:</v>
      </c>
      <c r="B48" s="676"/>
      <c r="C48" s="620" t="s">
        <v>75</v>
      </c>
      <c r="D48" s="621"/>
      <c r="E48" s="621"/>
      <c r="F48" s="621"/>
      <c r="G48" s="621"/>
      <c r="H48" s="621"/>
      <c r="I48" s="621"/>
      <c r="J48" s="622"/>
      <c r="K48" s="623" t="str">
        <f>HLOOKUP(Language,Translation,66)</f>
        <v>Expiration date</v>
      </c>
      <c r="L48" s="624"/>
      <c r="M48" s="538"/>
      <c r="N48" s="539"/>
      <c r="R48" s="62"/>
    </row>
    <row r="49" spans="1:16" ht="19.5" customHeight="1">
      <c r="A49" s="526" t="str">
        <f>HLOOKUP(Language,Translation,236)</f>
        <v>Conditions:</v>
      </c>
      <c r="B49" s="527"/>
      <c r="C49" s="533" t="str">
        <f>HLOOKUP(Language,Translation,297)</f>
        <v>Justification for conditional release:</v>
      </c>
      <c r="D49" s="534"/>
      <c r="E49" s="534"/>
      <c r="F49" s="534"/>
      <c r="G49" s="534"/>
      <c r="H49" s="535"/>
      <c r="I49" s="536" t="s">
        <v>75</v>
      </c>
      <c r="J49" s="536"/>
      <c r="K49" s="536"/>
      <c r="L49" s="536"/>
      <c r="M49" s="536"/>
      <c r="N49" s="537"/>
    </row>
    <row r="50" spans="1:16" ht="54" customHeight="1" thickBot="1">
      <c r="A50" s="530"/>
      <c r="B50" s="531"/>
      <c r="C50" s="531"/>
      <c r="D50" s="531"/>
      <c r="E50" s="531"/>
      <c r="F50" s="531"/>
      <c r="G50" s="531"/>
      <c r="H50" s="531"/>
      <c r="I50" s="531"/>
      <c r="J50" s="531"/>
      <c r="K50" s="531"/>
      <c r="L50" s="531"/>
      <c r="M50" s="531"/>
      <c r="N50" s="532"/>
    </row>
    <row r="51" spans="1:16" ht="19.5" customHeight="1">
      <c r="A51" s="503" t="str">
        <f>HLOOKUP(Language,Translation,238)</f>
        <v>Decision by:</v>
      </c>
      <c r="B51" s="504"/>
      <c r="C51" s="528" t="str">
        <f>IF(OR(I25&lt;&gt;HLOOKUP(Language,Translation,291),AND(E26&lt;&gt;'Language table'!C4,G28&lt;&gt;'Language table'!E62),E30=HLOOKUP(Language,Translation,275),E30="",M32='Language table'!$C$4,M33='Language table'!$D$4),HLOOKUP(Language,Translation,273),"")</f>
        <v>"No supplier approval except by written decision from procurement management!"</v>
      </c>
      <c r="D51" s="528"/>
      <c r="E51" s="528"/>
      <c r="F51" s="528"/>
      <c r="G51" s="528"/>
      <c r="H51" s="528"/>
      <c r="I51" s="528"/>
      <c r="J51" s="528"/>
      <c r="K51" s="528"/>
      <c r="L51" s="528"/>
      <c r="M51" s="528"/>
      <c r="N51" s="529"/>
    </row>
    <row r="52" spans="1:16" ht="35.25" customHeight="1">
      <c r="A52" s="56" t="str">
        <f>HLOOKUP(Language,Translation,240)&amp;" 1:"</f>
        <v>Function 1:</v>
      </c>
      <c r="B52" s="515" t="s">
        <v>1614</v>
      </c>
      <c r="C52" s="516"/>
      <c r="D52" s="516"/>
      <c r="E52" s="516"/>
      <c r="F52" s="516"/>
      <c r="G52" s="516"/>
      <c r="H52" s="665" t="str">
        <f>HLOOKUP(Language,Translation,240)&amp;" 2:"</f>
        <v>Function 2:</v>
      </c>
      <c r="I52" s="666"/>
      <c r="J52" s="515" t="s">
        <v>1596</v>
      </c>
      <c r="K52" s="516"/>
      <c r="L52" s="516"/>
      <c r="M52" s="516"/>
      <c r="N52" s="517"/>
    </row>
    <row r="53" spans="1:16">
      <c r="A53" s="57" t="str">
        <f>HLOOKUP(Language,Translation,22)&amp;":"</f>
        <v>Name:</v>
      </c>
      <c r="B53" s="520"/>
      <c r="C53" s="521"/>
      <c r="D53" s="521"/>
      <c r="E53" s="521"/>
      <c r="F53" s="521"/>
      <c r="G53" s="521"/>
      <c r="H53" s="480" t="str">
        <f>HLOOKUP(Language,Translation,22)&amp;":"</f>
        <v>Name:</v>
      </c>
      <c r="I53" s="478"/>
      <c r="J53" s="522"/>
      <c r="K53" s="523"/>
      <c r="L53" s="523"/>
      <c r="M53" s="523"/>
      <c r="N53" s="524"/>
    </row>
    <row r="54" spans="1:16" ht="30.75" customHeight="1" thickBot="1">
      <c r="A54" s="64" t="str">
        <f>HLOOKUP(Language,Translation,242)</f>
        <v>Signature / Date:</v>
      </c>
      <c r="B54" s="663"/>
      <c r="C54" s="664"/>
      <c r="D54" s="664"/>
      <c r="E54" s="664"/>
      <c r="F54" s="664"/>
      <c r="G54" s="664"/>
      <c r="H54" s="481" t="str">
        <f>HLOOKUP(Language,Translation,242)</f>
        <v>Signature / Date:</v>
      </c>
      <c r="I54" s="483"/>
      <c r="J54" s="615"/>
      <c r="K54" s="616"/>
      <c r="L54" s="616"/>
      <c r="M54" s="616"/>
      <c r="N54" s="617"/>
      <c r="P54" s="59"/>
    </row>
    <row r="55" spans="1:16" ht="22.5" customHeight="1">
      <c r="A55" s="136" t="str">
        <f>HLOOKUP(Language,Translation,240)&amp;" 3:"</f>
        <v>Function 3:</v>
      </c>
      <c r="B55" s="667" t="s">
        <v>1603</v>
      </c>
      <c r="C55" s="668"/>
      <c r="D55" s="668"/>
      <c r="E55" s="668"/>
      <c r="F55" s="668"/>
      <c r="G55" s="669"/>
    </row>
    <row r="56" spans="1:16">
      <c r="A56" s="137" t="str">
        <f>HLOOKUP(Language,Translation,22)&amp;":"</f>
        <v>Name:</v>
      </c>
      <c r="B56" s="670"/>
      <c r="C56" s="671"/>
      <c r="D56" s="671"/>
      <c r="E56" s="671"/>
      <c r="F56" s="671"/>
      <c r="G56" s="672"/>
    </row>
    <row r="57" spans="1:16" ht="30.75" customHeight="1" thickBot="1">
      <c r="A57" s="138" t="str">
        <f>HLOOKUP(Language,Translation,242)</f>
        <v>Signature / Date:</v>
      </c>
      <c r="B57" s="660"/>
      <c r="C57" s="661"/>
      <c r="D57" s="661"/>
      <c r="E57" s="661"/>
      <c r="F57" s="661"/>
      <c r="G57" s="662"/>
    </row>
  </sheetData>
  <sheetProtection algorithmName="SHA-512" hashValue="CTMQUWZoGp1YAiV7hqNujCCt+Usj82ETL2X6vvI3mEQB84Y0FXtrn2G3qEcATNEW4RdqEhWwCtiLkNNH/9aFuA==" saltValue="4EmP/4+BKTybzVKUKqD3HA==" spinCount="100000" sheet="1" selectLockedCells="1"/>
  <mergeCells count="129">
    <mergeCell ref="A37:N37"/>
    <mergeCell ref="B57:G57"/>
    <mergeCell ref="J54:N54"/>
    <mergeCell ref="B52:G52"/>
    <mergeCell ref="B53:G53"/>
    <mergeCell ref="B54:G54"/>
    <mergeCell ref="H53:I53"/>
    <mergeCell ref="H54:I54"/>
    <mergeCell ref="J52:N52"/>
    <mergeCell ref="H52:I52"/>
    <mergeCell ref="B55:G55"/>
    <mergeCell ref="B56:G56"/>
    <mergeCell ref="J53:N53"/>
    <mergeCell ref="C38:N38"/>
    <mergeCell ref="B39:G39"/>
    <mergeCell ref="H39:I39"/>
    <mergeCell ref="A48:B48"/>
    <mergeCell ref="J42:N42"/>
    <mergeCell ref="B43:G43"/>
    <mergeCell ref="J40:N40"/>
    <mergeCell ref="F46:N47"/>
    <mergeCell ref="H43:I43"/>
    <mergeCell ref="A38:B38"/>
    <mergeCell ref="C48:J48"/>
    <mergeCell ref="K48:L48"/>
    <mergeCell ref="A35:N35"/>
    <mergeCell ref="E19:J19"/>
    <mergeCell ref="E18:J18"/>
    <mergeCell ref="A18:D18"/>
    <mergeCell ref="A24:C24"/>
    <mergeCell ref="A19:D21"/>
    <mergeCell ref="A32:C33"/>
    <mergeCell ref="D32:D33"/>
    <mergeCell ref="M33:N33"/>
    <mergeCell ref="M32:N32"/>
    <mergeCell ref="I25:N25"/>
    <mergeCell ref="E32:L32"/>
    <mergeCell ref="A25:C25"/>
    <mergeCell ref="E29:F29"/>
    <mergeCell ref="D30:D31"/>
    <mergeCell ref="M31:N31"/>
    <mergeCell ref="K29:N29"/>
    <mergeCell ref="B26:C26"/>
    <mergeCell ref="D26:D28"/>
    <mergeCell ref="A36:B36"/>
    <mergeCell ref="C36:N36"/>
    <mergeCell ref="K21:N21"/>
    <mergeCell ref="K18:N18"/>
    <mergeCell ref="G34:H34"/>
    <mergeCell ref="B34:F34"/>
    <mergeCell ref="I34:N34"/>
    <mergeCell ref="K24:N24"/>
    <mergeCell ref="G24:J24"/>
    <mergeCell ref="G25:H25"/>
    <mergeCell ref="A23:N23"/>
    <mergeCell ref="I26:J26"/>
    <mergeCell ref="G26:H26"/>
    <mergeCell ref="B27:C28"/>
    <mergeCell ref="G27:I27"/>
    <mergeCell ref="K26:N28"/>
    <mergeCell ref="A30:C31"/>
    <mergeCell ref="E33:L33"/>
    <mergeCell ref="E31:L31"/>
    <mergeCell ref="E30:N30"/>
    <mergeCell ref="B1:K1"/>
    <mergeCell ref="L1:N1"/>
    <mergeCell ref="A8:N8"/>
    <mergeCell ref="B10:G10"/>
    <mergeCell ref="B9:G9"/>
    <mergeCell ref="H12:J12"/>
    <mergeCell ref="H11:J11"/>
    <mergeCell ref="H10:J10"/>
    <mergeCell ref="H9:J9"/>
    <mergeCell ref="K10:N10"/>
    <mergeCell ref="K9:N9"/>
    <mergeCell ref="B11:G11"/>
    <mergeCell ref="B12:G12"/>
    <mergeCell ref="K12:N12"/>
    <mergeCell ref="K11:N11"/>
    <mergeCell ref="A6:N6"/>
    <mergeCell ref="A3:N3"/>
    <mergeCell ref="L4:M4"/>
    <mergeCell ref="B4:F4"/>
    <mergeCell ref="G4:I4"/>
    <mergeCell ref="A5:G5"/>
    <mergeCell ref="H5:I5"/>
    <mergeCell ref="A51:B51"/>
    <mergeCell ref="A46:B47"/>
    <mergeCell ref="C46:E47"/>
    <mergeCell ref="J39:N39"/>
    <mergeCell ref="H41:I41"/>
    <mergeCell ref="B41:G41"/>
    <mergeCell ref="J41:N41"/>
    <mergeCell ref="H40:I40"/>
    <mergeCell ref="B40:G40"/>
    <mergeCell ref="A49:B49"/>
    <mergeCell ref="C51:N51"/>
    <mergeCell ref="B42:G42"/>
    <mergeCell ref="H42:I42"/>
    <mergeCell ref="A50:N50"/>
    <mergeCell ref="C49:H49"/>
    <mergeCell ref="I49:N49"/>
    <mergeCell ref="M48:N48"/>
    <mergeCell ref="J43:N43"/>
    <mergeCell ref="A45:N45"/>
    <mergeCell ref="H13:J13"/>
    <mergeCell ref="H14:J14"/>
    <mergeCell ref="K14:N14"/>
    <mergeCell ref="K13:N13"/>
    <mergeCell ref="A14:C14"/>
    <mergeCell ref="D14:G14"/>
    <mergeCell ref="B13:G13"/>
    <mergeCell ref="A15:C15"/>
    <mergeCell ref="A29:C29"/>
    <mergeCell ref="D15:G15"/>
    <mergeCell ref="H15:K15"/>
    <mergeCell ref="L15:N15"/>
    <mergeCell ref="E20:J20"/>
    <mergeCell ref="E24:F24"/>
    <mergeCell ref="E25:F25"/>
    <mergeCell ref="E21:J21"/>
    <mergeCell ref="K20:N20"/>
    <mergeCell ref="K19:N19"/>
    <mergeCell ref="G29:J29"/>
    <mergeCell ref="A17:G17"/>
    <mergeCell ref="H17:N17"/>
    <mergeCell ref="E26:F28"/>
    <mergeCell ref="G28:J28"/>
    <mergeCell ref="A26:A28"/>
  </mergeCells>
  <conditionalFormatting sqref="A19">
    <cfRule type="cellIs" dxfId="53" priority="126" operator="equal">
      <formula>"Please select!"</formula>
    </cfRule>
  </conditionalFormatting>
  <conditionalFormatting sqref="B4 J53 J4:L4 C46 K26:K29 A37">
    <cfRule type="containsBlanks" dxfId="52" priority="118">
      <formula>LEN(TRIM(A4))=0</formula>
    </cfRule>
  </conditionalFormatting>
  <conditionalFormatting sqref="G29">
    <cfRule type="expression" dxfId="51" priority="103">
      <formula>A29=HLOOKUP(Language,Translation,228)</formula>
    </cfRule>
  </conditionalFormatting>
  <conditionalFormatting sqref="A6">
    <cfRule type="cellIs" dxfId="50" priority="101" operator="equal">
      <formula>HLOOKUP(Language,Translation,230)</formula>
    </cfRule>
  </conditionalFormatting>
  <conditionalFormatting sqref="B53">
    <cfRule type="containsBlanks" dxfId="49" priority="88">
      <formula>LEN(TRIM(B53))=0</formula>
    </cfRule>
  </conditionalFormatting>
  <conditionalFormatting sqref="I26:J26">
    <cfRule type="cellIs" dxfId="48" priority="83" operator="notBetween">
      <formula>TODAY()</formula>
      <formula>DATE(YEAR(TODAY())+3,MONTH(TODAY()),DAY(TODAY()-1))</formula>
    </cfRule>
  </conditionalFormatting>
  <conditionalFormatting sqref="J41:J42">
    <cfRule type="containsBlanks" dxfId="47" priority="51">
      <formula>LEN(TRIM(J41))=0</formula>
    </cfRule>
  </conditionalFormatting>
  <conditionalFormatting sqref="B41:B42">
    <cfRule type="containsBlanks" dxfId="46" priority="307">
      <formula>LEN(TRIM(B41))=0</formula>
    </cfRule>
  </conditionalFormatting>
  <conditionalFormatting sqref="E33 M33:N33">
    <cfRule type="expression" dxfId="45" priority="39">
      <formula>$E$33=""</formula>
    </cfRule>
  </conditionalFormatting>
  <conditionalFormatting sqref="C51:N51">
    <cfRule type="notContainsBlanks" dxfId="44" priority="30">
      <formula>LEN(TRIM(C51))&gt;0</formula>
    </cfRule>
  </conditionalFormatting>
  <conditionalFormatting sqref="E30:N31">
    <cfRule type="cellIs" dxfId="43" priority="12" operator="equal">
      <formula>HLOOKUP(Language,Translation,275)</formula>
    </cfRule>
  </conditionalFormatting>
  <conditionalFormatting sqref="E19">
    <cfRule type="containsBlanks" dxfId="42" priority="302">
      <formula>LEN(TRIM(E19))=0</formula>
    </cfRule>
  </conditionalFormatting>
  <conditionalFormatting sqref="E21">
    <cfRule type="containsBlanks" dxfId="41" priority="304">
      <formula>LEN(TRIM(E21))=0</formula>
    </cfRule>
  </conditionalFormatting>
  <conditionalFormatting sqref="K19">
    <cfRule type="containsBlanks" dxfId="40" priority="303">
      <formula>LEN(TRIM(K19))=0</formula>
    </cfRule>
  </conditionalFormatting>
  <conditionalFormatting sqref="K21">
    <cfRule type="containsBlanks" dxfId="39" priority="301">
      <formula>LEN(TRIM(K21))=0</formula>
    </cfRule>
  </conditionalFormatting>
  <conditionalFormatting sqref="I25:N25">
    <cfRule type="cellIs" dxfId="38" priority="8" operator="equal">
      <formula>HLOOKUP(Language,Translation,294)</formula>
    </cfRule>
  </conditionalFormatting>
  <conditionalFormatting sqref="A50">
    <cfRule type="containsBlanks" dxfId="37" priority="311">
      <formula>LEN(TRIM(A50))=0</formula>
    </cfRule>
  </conditionalFormatting>
  <conditionalFormatting sqref="M48">
    <cfRule type="containsBlanks" dxfId="36" priority="3">
      <formula>LEN(TRIM(M48))=0</formula>
    </cfRule>
  </conditionalFormatting>
  <conditionalFormatting sqref="C48 J48">
    <cfRule type="cellIs" dxfId="35" priority="93" operator="equal">
      <formula>"WVERWEIS(Language;Translation;232)+'Language table'!$A$1"</formula>
    </cfRule>
  </conditionalFormatting>
  <dataValidations count="7">
    <dataValidation type="list" allowBlank="1" showInputMessage="1" showErrorMessage="1" sqref="E29 M32:M33 E25:E27 M31:N31" xr:uid="{30EE962F-2D1D-484B-B766-BD322C5AB173}">
      <formula1>Selection</formula1>
    </dataValidation>
    <dataValidation type="list" allowBlank="1" showInputMessage="1" showErrorMessage="1" sqref="C48" xr:uid="{769C540E-6178-471D-A27A-7E8EB9844CCD}">
      <formula1>Approval</formula1>
    </dataValidation>
    <dataValidation type="list" allowBlank="1" showInputMessage="1" showErrorMessage="1" sqref="E30:E31" xr:uid="{268013BC-036C-4E0A-B1BD-9B4B035E3258}">
      <formula1>Insurance</formula1>
    </dataValidation>
    <dataValidation type="list" allowBlank="1" showInputMessage="1" showErrorMessage="1" sqref="B40:G40 J40:N40" xr:uid="{84AF8A01-13E3-423B-944E-FB599AE7FC8A}">
      <formula1>Decision</formula1>
    </dataValidation>
    <dataValidation type="list" allowBlank="1" showInputMessage="1" showErrorMessage="1" sqref="G28:J28" xr:uid="{B0BFE6BB-00A7-4FB6-BA68-6C1EBEE8C37A}">
      <formula1>CScat</formula1>
    </dataValidation>
    <dataValidation type="list" allowBlank="1" showInputMessage="1" showErrorMessage="1" sqref="I49:N49" xr:uid="{3FD1C348-0672-40F5-8C7D-BC4E64AE4D22}">
      <formula1>Conditions</formula1>
    </dataValidation>
    <dataValidation type="list" allowBlank="1" showInputMessage="1" showErrorMessage="1" sqref="H5:I5" xr:uid="{5B9AD6D9-3AB5-45BB-94DD-E7722481E923}">
      <formula1>SAP</formula1>
    </dataValidation>
  </dataValidations>
  <pageMargins left="0.70866141732283472" right="0.70866141732283472" top="0.74803149606299213" bottom="0.74803149606299213" header="0.31496062992125984" footer="0.31496062992125984"/>
  <pageSetup paperSize="9" scale="83" fitToHeight="0" orientation="portrait" r:id="rId1"/>
  <headerFooter>
    <oddFooter>&amp;L&amp;6T.PU.082 Supplier Self Assessment and Approval Form / V1.5 / T.Schneider / 30.10.2023&amp;C&amp;1#&amp;8&amp;KA6A6A6restricted&amp;R&amp;6&amp;A   &amp;P/&amp;N</oddFooter>
  </headerFooter>
  <rowBreaks count="1" manualBreakCount="1">
    <brk id="44" max="13" man="1"/>
  </rowBreaks>
  <customProperties>
    <customPr name="_pios_id" r:id="rId2"/>
  </customProperties>
  <drawing r:id="rId3"/>
  <extLst>
    <ext xmlns:x14="http://schemas.microsoft.com/office/spreadsheetml/2009/9/main" uri="{78C0D931-6437-407d-A8EE-F0AAD7539E65}">
      <x14:conditionalFormattings>
        <x14:conditionalFormatting xmlns:xm="http://schemas.microsoft.com/office/excel/2006/main">
          <x14:cfRule type="expression" priority="10" id="{00000000-000E-0000-0300-000004000000}">
            <xm:f>OR(AND($B$56="",$M$32='Language table'!$C$4),AND($B$56="",$E$33=HLOOKUP(Language,Translation,272)))</xm:f>
            <x14:dxf>
              <fill>
                <patternFill>
                  <bgColor theme="3" tint="0.79998168889431442"/>
                </patternFill>
              </fill>
            </x14:dxf>
          </x14:cfRule>
          <xm:sqref>B56</xm:sqref>
        </x14:conditionalFormatting>
        <x14:conditionalFormatting xmlns:xm="http://schemas.microsoft.com/office/excel/2006/main">
          <x14:cfRule type="expression" priority="9" id="{00000000-000E-0000-0300-000003000000}">
            <xm:f>OR($M$32='Language table'!$C$4,$E$33=HLOOKUP(Language,Translation,272))</xm:f>
            <x14:dxf>
              <font>
                <color auto="1"/>
              </font>
              <fill>
                <patternFill patternType="none">
                  <bgColor auto="1"/>
                </patternFill>
              </fill>
            </x14:dxf>
          </x14:cfRule>
          <xm:sqref>A55:A57 B55</xm:sqref>
        </x14:conditionalFormatting>
        <x14:conditionalFormatting xmlns:xm="http://schemas.microsoft.com/office/excel/2006/main">
          <x14:cfRule type="expression" priority="7" id="{0EF3193C-C254-4923-944B-CCF2CA2B4644}">
            <xm:f>$B$27='Language table'!$E$37</xm:f>
            <x14:dxf>
              <font>
                <color theme="0"/>
              </font>
              <fill>
                <patternFill>
                  <bgColor theme="0"/>
                </patternFill>
              </fill>
            </x14:dxf>
          </x14:cfRule>
          <xm:sqref>I26:J26</xm:sqref>
        </x14:conditionalFormatting>
        <x14:conditionalFormatting xmlns:xm="http://schemas.microsoft.com/office/excel/2006/main">
          <x14:cfRule type="expression" priority="57" id="{00000000-000E-0000-0300-000036000000}">
            <xm:f>$G$28='Language table'!$E$62</xm:f>
            <x14:dxf>
              <font>
                <color theme="0"/>
              </font>
              <fill>
                <patternFill>
                  <bgColor theme="0"/>
                </patternFill>
              </fill>
            </x14:dxf>
          </x14:cfRule>
          <xm:sqref>B27 E26:F28 I26 H39:N43</xm:sqref>
        </x14:conditionalFormatting>
        <x14:conditionalFormatting xmlns:xm="http://schemas.microsoft.com/office/excel/2006/main">
          <x14:cfRule type="expression" priority="66" id="{D6DA62D2-3B45-4BC8-B03C-DAC0AF5C8E38}">
            <xm:f>AND($D$26="x",$E$26='Language table'!$D$4)</xm:f>
            <x14:dxf>
              <fill>
                <patternFill>
                  <bgColor rgb="FFFF0000"/>
                </patternFill>
              </fill>
            </x14:dxf>
          </x14:cfRule>
          <xm:sqref>E26:E27</xm:sqref>
        </x14:conditionalFormatting>
        <x14:conditionalFormatting xmlns:xm="http://schemas.microsoft.com/office/excel/2006/main">
          <x14:cfRule type="cellIs" priority="127" operator="equal" id="{EF234E95-E565-485E-8CF2-9EEAC7D6C99E}">
            <xm:f>'Language table'!$B$3</xm:f>
            <x14:dxf>
              <fill>
                <patternFill>
                  <bgColor theme="3" tint="0.79998168889431442"/>
                </patternFill>
              </fill>
            </x14:dxf>
          </x14:cfRule>
          <xm:sqref>M31 E29:E31 E25:E27 G28 H5</xm:sqref>
        </x14:conditionalFormatting>
        <x14:conditionalFormatting xmlns:xm="http://schemas.microsoft.com/office/excel/2006/main">
          <x14:cfRule type="cellIs" priority="98" operator="equal" id="{D7514EC7-B255-4C8D-BB96-97DC5E9BCA45}">
            <xm:f>'Language table'!$B$3</xm:f>
            <x14:dxf>
              <fill>
                <patternFill>
                  <bgColor theme="3" tint="0.79998168889431442"/>
                </patternFill>
              </fill>
            </x14:dxf>
          </x14:cfRule>
          <xm:sqref>C48</xm:sqref>
        </x14:conditionalFormatting>
        <x14:conditionalFormatting xmlns:xm="http://schemas.microsoft.com/office/excel/2006/main">
          <x14:cfRule type="expression" priority="2" id="{BF74B252-1C8F-4C83-96EE-66EB4DE447B4}">
            <xm:f>$C$48&lt;&gt;'Language table'!$D$8</xm:f>
            <x14:dxf>
              <font>
                <color theme="0"/>
              </font>
              <fill>
                <patternFill>
                  <bgColor theme="0"/>
                </patternFill>
              </fill>
            </x14:dxf>
          </x14:cfRule>
          <xm:sqref>A49:N50</xm:sqref>
        </x14:conditionalFormatting>
        <x14:conditionalFormatting xmlns:xm="http://schemas.microsoft.com/office/excel/2006/main">
          <x14:cfRule type="expression" priority="75" id="{259982C0-839C-41DA-B264-155A7DA1B5F9}">
            <xm:f>VC='Language table'!$F$3</xm:f>
            <x14:dxf>
              <font>
                <color theme="0"/>
              </font>
              <fill>
                <patternFill>
                  <bgColor theme="0"/>
                </patternFill>
              </fill>
            </x14:dxf>
          </x14:cfRule>
          <xm:sqref>H52:N54</xm:sqref>
        </x14:conditionalFormatting>
        <x14:conditionalFormatting xmlns:xm="http://schemas.microsoft.com/office/excel/2006/main">
          <x14:cfRule type="expression" priority="63" id="{0620C71A-1E23-426F-B611-025697F77678}">
            <xm:f>AND($D$25="x",$E$25='Language table'!$D$4)</xm:f>
            <x14:dxf>
              <fill>
                <patternFill>
                  <bgColor rgb="FFFF0000"/>
                </patternFill>
              </fill>
            </x14:dxf>
          </x14:cfRule>
          <xm:sqref>E25:F25</xm:sqref>
        </x14:conditionalFormatting>
        <x14:conditionalFormatting xmlns:xm="http://schemas.microsoft.com/office/excel/2006/main">
          <x14:cfRule type="expression" priority="55" id="{302B78E8-63C0-40E5-B1B0-D4B3A0A87208}">
            <xm:f>AND($D$29="x",$E$29='Language table'!$D$4)</xm:f>
            <x14:dxf>
              <fill>
                <patternFill>
                  <bgColor rgb="FFFF0000"/>
                </patternFill>
              </fill>
            </x14:dxf>
          </x14:cfRule>
          <xm:sqref>E29:F29</xm:sqref>
        </x14:conditionalFormatting>
        <x14:conditionalFormatting xmlns:xm="http://schemas.microsoft.com/office/excel/2006/main">
          <x14:cfRule type="expression" priority="19" id="{73E0F205-FAA8-46DF-A331-02C1EAEA7564}">
            <xm:f>$G$28='Language table'!$E$62</xm:f>
            <x14:dxf>
              <font>
                <color theme="0"/>
              </font>
              <fill>
                <patternFill>
                  <bgColor theme="0"/>
                </patternFill>
              </fill>
            </x14:dxf>
          </x14:cfRule>
          <xm:sqref>H39:N39</xm:sqref>
        </x14:conditionalFormatting>
        <x14:conditionalFormatting xmlns:xm="http://schemas.microsoft.com/office/excel/2006/main">
          <x14:cfRule type="cellIs" priority="44" operator="equal" id="{3E6F9FD1-9790-4238-9D58-87AB4E5AE2F4}">
            <xm:f>'Language table'!$B$3</xm:f>
            <x14:dxf>
              <fill>
                <patternFill>
                  <bgColor theme="3" tint="0.79998168889431442"/>
                </patternFill>
              </fill>
            </x14:dxf>
          </x14:cfRule>
          <xm:sqref>M32:M33</xm:sqref>
        </x14:conditionalFormatting>
        <x14:conditionalFormatting xmlns:xm="http://schemas.microsoft.com/office/excel/2006/main">
          <x14:cfRule type="expression" priority="43" id="{BC91992F-8021-441B-AEF5-9AC4B077D5DD}">
            <xm:f>AND(#REF!="x",#REF!='Language table'!$D$4)</xm:f>
            <x14:dxf>
              <fill>
                <patternFill>
                  <bgColor rgb="FFFF0000"/>
                </patternFill>
              </fill>
            </x14:dxf>
          </x14:cfRule>
          <xm:sqref>M32:N33</xm:sqref>
        </x14:conditionalFormatting>
        <x14:conditionalFormatting xmlns:xm="http://schemas.microsoft.com/office/excel/2006/main">
          <x14:cfRule type="expression" priority="290" id="{00000000-000E-0000-0600-000007000000}">
            <xm:f>$M$33&lt;&gt;'Language table'!$C$4</xm:f>
            <x14:dxf>
              <fill>
                <patternFill>
                  <bgColor rgb="FFFF0000"/>
                </patternFill>
              </fill>
            </x14:dxf>
          </x14:cfRule>
          <xm:sqref>E33</xm:sqref>
        </x14:conditionalFormatting>
        <x14:conditionalFormatting xmlns:xm="http://schemas.microsoft.com/office/excel/2006/main">
          <x14:cfRule type="expression" priority="291" id="{8B4C7112-335B-4C18-B391-5E37114860D4}">
            <xm:f>$M$32&lt;&gt;'Language table'!$D$4</xm:f>
            <x14:dxf>
              <fill>
                <patternFill>
                  <bgColor rgb="FFFF0000"/>
                </patternFill>
              </fill>
            </x14:dxf>
          </x14:cfRule>
          <xm:sqref>E32</xm:sqref>
        </x14:conditionalFormatting>
        <x14:conditionalFormatting xmlns:xm="http://schemas.microsoft.com/office/excel/2006/main">
          <x14:cfRule type="expression" priority="28" id="{D261436C-C8AE-4631-A15E-4E56884C2729}">
            <xm:f>OR(VC='Language table'!$E$3,VC='Language table'!$F$3)</xm:f>
            <x14:dxf>
              <font>
                <color theme="0"/>
              </font>
              <fill>
                <patternFill>
                  <bgColor theme="0"/>
                </patternFill>
              </fill>
            </x14:dxf>
          </x14:cfRule>
          <xm:sqref>F46</xm:sqref>
        </x14:conditionalFormatting>
        <x14:conditionalFormatting xmlns:xm="http://schemas.microsoft.com/office/excel/2006/main">
          <x14:cfRule type="cellIs" priority="20" operator="equal" id="{E96686F3-171E-4124-A4D5-057FAC269A45}">
            <xm:f>'Language table'!$E$32</xm:f>
            <x14:dxf>
              <fill>
                <patternFill>
                  <bgColor rgb="FFFF0000"/>
                </patternFill>
              </fill>
            </x14:dxf>
          </x14:cfRule>
          <x14:cfRule type="cellIs" priority="21" operator="equal" id="{7F6B3B16-309C-4A59-A76E-D49CB900E266}">
            <xm:f>'Language table'!$E$31</xm:f>
            <x14:dxf>
              <fill>
                <patternFill>
                  <bgColor rgb="FFFFFF00"/>
                </patternFill>
              </fill>
            </x14:dxf>
          </x14:cfRule>
          <x14:cfRule type="cellIs" priority="22" operator="equal" id="{53377AAA-3347-4D9B-8BB5-D9A974EBD55A}">
            <xm:f>'Language table'!$E$30</xm:f>
            <x14:dxf>
              <fill>
                <patternFill>
                  <bgColor rgb="FF00B050"/>
                </patternFill>
              </fill>
            </x14:dxf>
          </x14:cfRule>
          <x14:cfRule type="cellIs" priority="50" operator="equal" id="{5268E905-C0A6-4825-B606-012CDE761A32}">
            <xm:f>'Language table'!$E$29</xm:f>
            <x14:dxf>
              <fill>
                <patternFill>
                  <bgColor theme="3" tint="0.79998168889431442"/>
                </patternFill>
              </fill>
            </x14:dxf>
          </x14:cfRule>
          <xm:sqref>B40 J40</xm:sqref>
        </x14:conditionalFormatting>
        <x14:conditionalFormatting xmlns:xm="http://schemas.microsoft.com/office/excel/2006/main">
          <x14:cfRule type="expression" priority="48" id="{AFBA39DD-418B-43D5-BD55-A49C97D65246}">
            <xm:f>OR($E$30='Language table'!$E$54,$E$30='Language table'!$E$55)</xm:f>
            <x14:dxf>
              <font>
                <color theme="0"/>
              </font>
              <fill>
                <patternFill>
                  <bgColor theme="0"/>
                </patternFill>
              </fill>
            </x14:dxf>
          </x14:cfRule>
          <xm:sqref>A39:G43</xm:sqref>
        </x14:conditionalFormatting>
        <x14:conditionalFormatting xmlns:xm="http://schemas.microsoft.com/office/excel/2006/main">
          <x14:cfRule type="expression" priority="310" id="{239CA77B-0A2D-4AF7-B295-41DAD0221001}">
            <xm:f>AND($D$30="x",$M$31='Language table'!$D$4)</xm:f>
            <x14:dxf>
              <fill>
                <patternFill>
                  <bgColor rgb="FFFF0000"/>
                </patternFill>
              </fill>
            </x14:dxf>
          </x14:cfRule>
          <xm:sqref>M31:N31</xm:sqref>
        </x14:conditionalFormatting>
        <x14:conditionalFormatting xmlns:xm="http://schemas.microsoft.com/office/excel/2006/main">
          <x14:cfRule type="expression" priority="5" id="{C69784EE-A731-4FBE-98ED-41C668A3542F}">
            <xm:f>OR($E$30='Language table'!$E$52,$E$30='Language table'!$E$54)</xm:f>
            <x14:dxf>
              <fill>
                <patternFill>
                  <bgColor rgb="FFFFFF00"/>
                </patternFill>
              </fill>
            </x14:dxf>
          </x14:cfRule>
          <xm:sqref>E30:N30</xm:sqref>
        </x14:conditionalFormatting>
        <x14:conditionalFormatting xmlns:xm="http://schemas.microsoft.com/office/excel/2006/main">
          <x14:cfRule type="expression" priority="4" id="{6B3DF831-6132-40D3-8562-B5B5C029E0FC}">
            <xm:f>OR($E$30='Language table'!$E$54,$E$30='Language table'!$E$55)</xm:f>
            <x14:dxf>
              <font>
                <color theme="0"/>
              </font>
              <fill>
                <patternFill>
                  <bgColor theme="0"/>
                </patternFill>
              </fill>
            </x14:dxf>
          </x14:cfRule>
          <xm:sqref>E31:N31</xm:sqref>
        </x14:conditionalFormatting>
        <x14:conditionalFormatting xmlns:xm="http://schemas.microsoft.com/office/excel/2006/main">
          <x14:cfRule type="cellIs" priority="94" operator="equal" id="{61E25682-DC97-49BB-9529-712C79677F4B}">
            <xm:f>'Language table'!$B$4</xm:f>
            <x14:dxf>
              <fill>
                <patternFill>
                  <bgColor rgb="FFFF0000"/>
                </patternFill>
              </fill>
            </x14:dxf>
          </x14:cfRule>
          <xm:sqref>I49:N49</xm:sqref>
        </x14:conditionalFormatting>
        <x14:conditionalFormatting xmlns:xm="http://schemas.microsoft.com/office/excel/2006/main">
          <x14:cfRule type="cellIs" priority="91" operator="equal" id="{2CDC48A8-650B-483B-93AD-38F909AB4533}">
            <xm:f>'Language table'!$E$8</xm:f>
            <x14:dxf>
              <fill>
                <patternFill>
                  <bgColor rgb="FFFF0000"/>
                </patternFill>
              </fill>
            </x14:dxf>
          </x14:cfRule>
          <x14:cfRule type="cellIs" priority="92" operator="equal" id="{216C4505-A1CF-4587-9408-9E9465114C8B}">
            <xm:f>'Language table'!$D$8</xm:f>
            <x14:dxf>
              <fill>
                <patternFill>
                  <bgColor rgb="FFFFFF00"/>
                </patternFill>
              </fill>
            </x14:dxf>
          </x14:cfRule>
          <xm:sqref>C48 J48</xm:sqref>
        </x14:conditionalFormatting>
        <x14:conditionalFormatting xmlns:xm="http://schemas.microsoft.com/office/excel/2006/main">
          <x14:cfRule type="expression" priority="1" id="{F35C15A6-301A-4434-A82C-AF94AA9B0D41}">
            <xm:f>$C$48&lt;&gt;'Language table'!$D$8</xm:f>
            <x14:dxf>
              <font>
                <color theme="0"/>
              </font>
              <fill>
                <patternFill>
                  <bgColor theme="0"/>
                </patternFill>
              </fill>
            </x14:dxf>
          </x14:cfRule>
          <xm:sqref>K48:N48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E4CE9172-8ED9-4BCC-ABD7-65A16F5CDE07}">
          <x14:formula1>
            <xm:f>'Language table'!$B$11:$C$11</xm:f>
          </x14:formula1>
          <xm:sqref>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F2F8F-B870-467A-AF43-65C856AB7AE5}">
  <dimension ref="A1:Y340"/>
  <sheetViews>
    <sheetView topLeftCell="N1" zoomScale="80" zoomScaleNormal="80" workbookViewId="0">
      <selection activeCell="U8" sqref="U8"/>
    </sheetView>
  </sheetViews>
  <sheetFormatPr baseColWidth="10" defaultColWidth="11.5703125" defaultRowHeight="12.75"/>
  <cols>
    <col min="1" max="1" width="14.140625" customWidth="1"/>
    <col min="2" max="2" width="128" customWidth="1"/>
    <col min="3" max="3" width="87.28515625" customWidth="1"/>
    <col min="4" max="4" width="13" customWidth="1"/>
    <col min="5" max="5" width="38.28515625" customWidth="1"/>
    <col min="6" max="6" width="29.42578125" bestFit="1" customWidth="1"/>
    <col min="7" max="7" width="7.5703125" customWidth="1"/>
    <col min="8" max="8" width="7.140625" customWidth="1"/>
    <col min="9" max="9" width="6.7109375" customWidth="1"/>
    <col min="10" max="10" width="6.42578125" customWidth="1"/>
    <col min="11" max="11" width="8.140625" customWidth="1"/>
    <col min="12" max="12" width="47" bestFit="1" customWidth="1"/>
    <col min="13" max="13" width="12.140625" bestFit="1" customWidth="1"/>
    <col min="14" max="14" width="32" bestFit="1" customWidth="1"/>
    <col min="15" max="15" width="37.140625" bestFit="1" customWidth="1"/>
    <col min="16" max="16" width="3.7109375" customWidth="1"/>
    <col min="17" max="17" width="11.42578125" customWidth="1"/>
    <col min="18" max="18" width="9.28515625" bestFit="1" customWidth="1"/>
    <col min="19" max="20" width="37.85546875" bestFit="1" customWidth="1"/>
    <col min="21" max="21" width="42.7109375" bestFit="1" customWidth="1"/>
    <col min="23" max="23" width="30.85546875" bestFit="1" customWidth="1"/>
    <col min="24" max="24" width="15.85546875" bestFit="1" customWidth="1"/>
    <col min="25" max="25" width="4.42578125" bestFit="1" customWidth="1"/>
  </cols>
  <sheetData>
    <row r="1" spans="1:25">
      <c r="G1" s="1"/>
    </row>
    <row r="2" spans="1:25">
      <c r="G2" s="1"/>
    </row>
    <row r="3" spans="1:25" ht="13.5" thickBot="1">
      <c r="A3" t="s">
        <v>80</v>
      </c>
      <c r="B3" s="1" t="s">
        <v>75</v>
      </c>
      <c r="C3" s="1" t="str">
        <f>G12</f>
        <v>VC1</v>
      </c>
      <c r="D3" s="1" t="str">
        <f t="shared" ref="D3:F3" si="0">H12</f>
        <v>VC2</v>
      </c>
      <c r="E3" s="1" t="str">
        <f t="shared" si="0"/>
        <v>VC3</v>
      </c>
      <c r="F3" s="1" t="str">
        <f t="shared" si="0"/>
        <v>VC4</v>
      </c>
      <c r="G3" s="1"/>
      <c r="H3" s="1"/>
      <c r="L3" s="39" t="s">
        <v>176</v>
      </c>
      <c r="M3" s="40" t="e">
        <f>COUNTIF(#REF!,'Language table'!C6)*6+COUNTIF(#REF!,'Language table'!D6)*3</f>
        <v>#REF!</v>
      </c>
      <c r="N3" s="43" t="s">
        <v>177</v>
      </c>
      <c r="O3" s="40">
        <f>IF(OR(VC="VC1",VC="VC2"),138,132)</f>
        <v>132</v>
      </c>
    </row>
    <row r="4" spans="1:25" ht="27.75" customHeight="1" thickBot="1">
      <c r="A4" s="1" t="s">
        <v>1666</v>
      </c>
      <c r="B4" s="1" t="str">
        <f>$B$3</f>
        <v>Please select!</v>
      </c>
      <c r="C4" s="21" t="str">
        <f>HLOOKUP(Language,Translation,23)</f>
        <v>Yes</v>
      </c>
      <c r="D4" s="1" t="str">
        <f>HLOOKUP(Language,Translation,24)</f>
        <v>No</v>
      </c>
      <c r="E4" s="1" t="str">
        <f>HLOOKUP(Language,Translation,292)</f>
        <v>Not required</v>
      </c>
      <c r="L4" s="41" t="s">
        <v>22</v>
      </c>
      <c r="M4" s="61" t="e">
        <f>M3/O3</f>
        <v>#REF!</v>
      </c>
      <c r="N4" s="42" t="e">
        <f>IF(M4&gt;0.75,"The total number of points is sufficient.","The total number of points is not sufficient.")</f>
        <v>#REF!</v>
      </c>
      <c r="O4" s="44" t="e">
        <f>IF(OR(#REF!&lt;&gt;'Language table'!C6,#REF!&lt;&gt;'Language table'!C6,#REF!&lt;&gt;'Language table'!C6),"Dealbreaker","All dealbreaker passed")</f>
        <v>#REF!</v>
      </c>
    </row>
    <row r="5" spans="1:25" ht="13.5" thickBot="1">
      <c r="A5" s="1" t="s">
        <v>125</v>
      </c>
      <c r="B5" s="1" t="str">
        <f>$B$3</f>
        <v>Please select!</v>
      </c>
      <c r="C5" t="str">
        <f>HLOOKUP(Language,Translation,106)</f>
        <v>Regularly</v>
      </c>
      <c r="D5" t="str">
        <f>HLOOKUP(Language,Translation,107)</f>
        <v>Partially</v>
      </c>
      <c r="E5" t="str">
        <f>HLOOKUP(Language,Translation,108)</f>
        <v>Currently not</v>
      </c>
    </row>
    <row r="6" spans="1:25" ht="13.5" thickBot="1">
      <c r="A6" s="1" t="s">
        <v>173</v>
      </c>
      <c r="B6" s="1" t="str">
        <f>$B$3</f>
        <v>Please select!</v>
      </c>
      <c r="C6" s="21" t="str">
        <f>HLOOKUP(Language,Translation,23)</f>
        <v>Yes</v>
      </c>
      <c r="D6" t="str">
        <f>HLOOKUP(Language,Translation,107)</f>
        <v>Partially</v>
      </c>
      <c r="E6" s="1" t="str">
        <f>HLOOKUP(Language,Translation,24)</f>
        <v>No</v>
      </c>
      <c r="G6" s="685" t="s">
        <v>1455</v>
      </c>
      <c r="H6" s="685"/>
      <c r="I6" s="685"/>
      <c r="J6" s="685"/>
      <c r="K6" t="e">
        <f>COUNTIF('Supplier Approval Form'!#REF!,'Language table'!C4)</f>
        <v>#REF!</v>
      </c>
      <c r="N6" s="683" t="e">
        <f>IF(AND(N4="The total number of points is sufficient.",O4="All dealbreaker passed"),HLOOKUP(Language,Translation,243),HLOOKUP(Language,Translation,244))</f>
        <v>#REF!</v>
      </c>
      <c r="O6" s="684"/>
    </row>
    <row r="7" spans="1:25">
      <c r="A7" s="1" t="s">
        <v>175</v>
      </c>
      <c r="B7" s="1" t="str">
        <f>$B$3</f>
        <v>Please select!</v>
      </c>
      <c r="C7" s="21" t="str">
        <f>HLOOKUP(Language,Translation,222)</f>
        <v>red</v>
      </c>
      <c r="D7" s="21" t="str">
        <f>HLOOKUP(Language,Translation,213)</f>
        <v>yellow</v>
      </c>
      <c r="E7" t="str">
        <f>HLOOKUP(Language,Translation,214)</f>
        <v>green</v>
      </c>
    </row>
    <row r="8" spans="1:25" ht="25.5">
      <c r="A8" s="1" t="s">
        <v>563</v>
      </c>
      <c r="B8" s="1" t="str">
        <f>$B$3</f>
        <v>Please select!</v>
      </c>
      <c r="C8" s="21" t="str">
        <f>IF('Supplier Approval Form'!C51=HLOOKUP(Language,Translation,273),"",HLOOKUP(Language,Translation,232))</f>
        <v/>
      </c>
      <c r="D8" s="21" t="str">
        <f>HLOOKUP(Language,Translation,233)</f>
        <v>Conditionally Approved</v>
      </c>
      <c r="E8" t="str">
        <f>HLOOKUP(Language,Translation,234)</f>
        <v>Not Approved</v>
      </c>
      <c r="R8" s="1" t="s">
        <v>588</v>
      </c>
      <c r="W8" s="100" t="s">
        <v>1266</v>
      </c>
    </row>
    <row r="9" spans="1:25">
      <c r="F9" s="1"/>
      <c r="G9" s="1"/>
      <c r="H9" s="1"/>
      <c r="L9" t="s">
        <v>336</v>
      </c>
      <c r="U9" s="1" t="str">
        <f>$B$3</f>
        <v>Please select!</v>
      </c>
      <c r="W9" s="1" t="str">
        <f>$B$3</f>
        <v>Please select!</v>
      </c>
      <c r="X9" s="99" t="s">
        <v>1733</v>
      </c>
      <c r="Y9" s="99" t="s">
        <v>1267</v>
      </c>
    </row>
    <row r="10" spans="1:25">
      <c r="B10" s="1" t="s">
        <v>76</v>
      </c>
      <c r="D10" s="1"/>
      <c r="F10" s="1"/>
      <c r="G10" s="1"/>
      <c r="H10" s="1"/>
      <c r="I10" s="1"/>
      <c r="J10" s="1"/>
      <c r="K10" s="1"/>
      <c r="L10" s="1" t="str">
        <f>$B$3</f>
        <v>Please select!</v>
      </c>
      <c r="N10" s="3" t="str">
        <f>B11</f>
        <v>DE</v>
      </c>
      <c r="O10" s="2" t="str">
        <f>C11</f>
        <v>EN</v>
      </c>
      <c r="P10" s="3">
        <v>1</v>
      </c>
      <c r="R10" s="69" t="s">
        <v>590</v>
      </c>
      <c r="S10" s="69" t="s">
        <v>591</v>
      </c>
      <c r="T10" s="69" t="s">
        <v>592</v>
      </c>
      <c r="U10" t="str">
        <f t="shared" ref="U10:U41" si="1">CONCATENATE(R10&amp;" "&amp;IF(Language=$B$11,S10,T10))</f>
        <v>EUR European Euro</v>
      </c>
      <c r="W10" s="154" t="s">
        <v>1268</v>
      </c>
      <c r="X10" s="155">
        <v>22</v>
      </c>
      <c r="Y10" s="155">
        <v>0</v>
      </c>
    </row>
    <row r="11" spans="1:25">
      <c r="A11" s="3">
        <v>1</v>
      </c>
      <c r="B11" s="2" t="s">
        <v>1182</v>
      </c>
      <c r="C11" s="2" t="s">
        <v>1183</v>
      </c>
      <c r="E11" t="s">
        <v>79</v>
      </c>
      <c r="G11" s="1" t="s">
        <v>334</v>
      </c>
      <c r="H11" s="1"/>
      <c r="I11" s="1"/>
      <c r="J11" s="1"/>
      <c r="K11" s="1"/>
      <c r="L11" t="str">
        <f>M11&amp;" "&amp;HLOOKUP(Language,TCname,P11)</f>
        <v>TCAB0000 Ball Joints / Stabi Links</v>
      </c>
      <c r="M11" s="1" t="s">
        <v>337</v>
      </c>
      <c r="N11" s="92" t="s">
        <v>462</v>
      </c>
      <c r="O11" s="1" t="s">
        <v>338</v>
      </c>
      <c r="P11" s="3">
        <v>2</v>
      </c>
      <c r="R11" s="69" t="s">
        <v>593</v>
      </c>
      <c r="S11" s="69" t="s">
        <v>594</v>
      </c>
      <c r="T11" s="69" t="s">
        <v>595</v>
      </c>
      <c r="U11" t="str">
        <f t="shared" si="1"/>
        <v>USD United States Dollar</v>
      </c>
      <c r="W11" s="154" t="s">
        <v>1269</v>
      </c>
      <c r="X11" s="155">
        <v>18</v>
      </c>
      <c r="Y11" s="155">
        <v>0</v>
      </c>
    </row>
    <row r="12" spans="1:25">
      <c r="A12" s="2">
        <v>2</v>
      </c>
      <c r="B12" s="1" t="s">
        <v>85</v>
      </c>
      <c r="C12" s="4" t="s">
        <v>0</v>
      </c>
      <c r="E12" s="1" t="str">
        <f>$B$3</f>
        <v>Please select!</v>
      </c>
      <c r="F12" s="103"/>
      <c r="G12" s="104" t="s">
        <v>81</v>
      </c>
      <c r="H12" s="104" t="s">
        <v>82</v>
      </c>
      <c r="I12" s="104" t="s">
        <v>83</v>
      </c>
      <c r="J12" s="105" t="s">
        <v>84</v>
      </c>
      <c r="K12" s="4"/>
      <c r="L12" t="str">
        <f t="shared" ref="L12:L42" si="2">M12&amp;" "&amp;HLOOKUP(Language,TCname,P12)</f>
        <v>TCACF000 Casting (Ferrous)</v>
      </c>
      <c r="M12" s="1" t="s">
        <v>339</v>
      </c>
      <c r="N12" s="92" t="s">
        <v>472</v>
      </c>
      <c r="O12" s="1" t="s">
        <v>340</v>
      </c>
      <c r="P12" s="3">
        <v>3</v>
      </c>
      <c r="R12" s="69" t="s">
        <v>596</v>
      </c>
      <c r="S12" s="69" t="s">
        <v>597</v>
      </c>
      <c r="T12" s="69" t="s">
        <v>598</v>
      </c>
      <c r="U12" t="str">
        <f t="shared" si="1"/>
        <v>CNY Chinese Renminbi</v>
      </c>
      <c r="W12" s="156" t="s">
        <v>1270</v>
      </c>
      <c r="X12" s="157">
        <v>94</v>
      </c>
      <c r="Y12" s="157">
        <v>1</v>
      </c>
    </row>
    <row r="13" spans="1:25">
      <c r="A13" s="2">
        <v>3</v>
      </c>
      <c r="B13" s="1" t="s">
        <v>546</v>
      </c>
      <c r="C13" s="1" t="s">
        <v>547</v>
      </c>
      <c r="E13" t="s">
        <v>86</v>
      </c>
      <c r="F13" s="106" t="str">
        <f>'Supplier Approval Form'!A25</f>
        <v>T.PU.082 Supplier Self-Assessment</v>
      </c>
      <c r="G13" s="48" t="s">
        <v>225</v>
      </c>
      <c r="H13" s="48" t="s">
        <v>225</v>
      </c>
      <c r="I13" s="48" t="s">
        <v>225</v>
      </c>
      <c r="J13" s="107" t="s">
        <v>225</v>
      </c>
      <c r="K13" s="4"/>
      <c r="L13" t="str">
        <f t="shared" si="2"/>
        <v>TCACI000 Investment Casting</v>
      </c>
      <c r="M13" s="1" t="s">
        <v>341</v>
      </c>
      <c r="N13" s="92" t="s">
        <v>474</v>
      </c>
      <c r="O13" s="1" t="s">
        <v>342</v>
      </c>
      <c r="P13" s="3">
        <v>4</v>
      </c>
      <c r="R13" s="69" t="s">
        <v>599</v>
      </c>
      <c r="S13" s="69" t="s">
        <v>600</v>
      </c>
      <c r="T13" s="69" t="s">
        <v>601</v>
      </c>
      <c r="U13" t="str">
        <f t="shared" si="1"/>
        <v>ADP Andoran peseta</v>
      </c>
      <c r="W13" s="156" t="s">
        <v>1271</v>
      </c>
      <c r="X13" s="157">
        <v>65</v>
      </c>
      <c r="Y13" s="157">
        <v>1</v>
      </c>
    </row>
    <row r="14" spans="1:25" ht="12.75" customHeight="1">
      <c r="A14" s="2">
        <v>4</v>
      </c>
      <c r="B14" s="1" t="s">
        <v>95</v>
      </c>
      <c r="C14" s="4" t="s">
        <v>1</v>
      </c>
      <c r="E14" t="s">
        <v>87</v>
      </c>
      <c r="F14" s="106" t="e">
        <f>'Supplier Approval Form'!#REF!</f>
        <v>#REF!</v>
      </c>
      <c r="G14" s="48" t="s">
        <v>225</v>
      </c>
      <c r="H14" s="48" t="s">
        <v>226</v>
      </c>
      <c r="I14" s="48" t="s">
        <v>227</v>
      </c>
      <c r="J14" s="107" t="s">
        <v>227</v>
      </c>
      <c r="L14" t="str">
        <f t="shared" si="2"/>
        <v>TCACN000 Castings (Non-Ferrous)</v>
      </c>
      <c r="M14" s="1" t="s">
        <v>343</v>
      </c>
      <c r="N14" s="92" t="s">
        <v>473</v>
      </c>
      <c r="O14" s="1" t="s">
        <v>344</v>
      </c>
      <c r="P14" s="3">
        <v>5</v>
      </c>
      <c r="R14" s="69" t="s">
        <v>602</v>
      </c>
      <c r="S14" s="69" t="s">
        <v>603</v>
      </c>
      <c r="T14" s="69" t="s">
        <v>604</v>
      </c>
      <c r="U14" t="str">
        <f t="shared" si="1"/>
        <v>AED United Arab Emirates Dirham</v>
      </c>
      <c r="W14" s="154" t="s">
        <v>1272</v>
      </c>
      <c r="X14" s="155">
        <v>41</v>
      </c>
      <c r="Y14" s="155">
        <v>0</v>
      </c>
    </row>
    <row r="15" spans="1:25">
      <c r="A15" s="2">
        <v>5</v>
      </c>
      <c r="B15" s="1" t="s">
        <v>139</v>
      </c>
      <c r="C15" s="4" t="s">
        <v>104</v>
      </c>
      <c r="E15" t="s">
        <v>88</v>
      </c>
      <c r="F15" s="106" t="e">
        <f>'Supplier Approval Form'!#REF!</f>
        <v>#REF!</v>
      </c>
      <c r="G15" s="48" t="s">
        <v>225</v>
      </c>
      <c r="H15" s="48" t="s">
        <v>226</v>
      </c>
      <c r="I15" s="48" t="s">
        <v>227</v>
      </c>
      <c r="J15" s="107" t="s">
        <v>227</v>
      </c>
      <c r="L15" t="str">
        <f t="shared" si="2"/>
        <v>TCAFF000 Forgings, Ferrous</v>
      </c>
      <c r="M15" s="1" t="s">
        <v>345</v>
      </c>
      <c r="N15" s="92" t="s">
        <v>475</v>
      </c>
      <c r="O15" s="1" t="s">
        <v>346</v>
      </c>
      <c r="P15" s="3">
        <v>6</v>
      </c>
      <c r="R15" s="69" t="s">
        <v>605</v>
      </c>
      <c r="S15" s="69" t="s">
        <v>606</v>
      </c>
      <c r="T15" s="69" t="s">
        <v>606</v>
      </c>
      <c r="U15" t="str">
        <f t="shared" si="1"/>
        <v>AFA Afghani</v>
      </c>
      <c r="W15" s="154" t="s">
        <v>1274</v>
      </c>
      <c r="X15" s="155">
        <v>2</v>
      </c>
      <c r="Y15" s="155">
        <v>0</v>
      </c>
    </row>
    <row r="16" spans="1:25">
      <c r="A16" s="2">
        <v>6</v>
      </c>
      <c r="B16" s="1" t="s">
        <v>102</v>
      </c>
      <c r="C16" s="4" t="s">
        <v>2</v>
      </c>
      <c r="F16" s="106" t="e">
        <f>'Supplier Approval Form'!#REF!</f>
        <v>#REF!</v>
      </c>
      <c r="G16" s="48" t="s">
        <v>226</v>
      </c>
      <c r="H16" s="48" t="s">
        <v>226</v>
      </c>
      <c r="I16" s="48" t="s">
        <v>227</v>
      </c>
      <c r="J16" s="107" t="s">
        <v>227</v>
      </c>
      <c r="L16" t="str">
        <f t="shared" si="2"/>
        <v>TCAFN000 Forgings, Aluminum</v>
      </c>
      <c r="M16" s="1" t="s">
        <v>347</v>
      </c>
      <c r="N16" s="92" t="s">
        <v>1184</v>
      </c>
      <c r="O16" s="1" t="s">
        <v>348</v>
      </c>
      <c r="P16" s="3">
        <v>7</v>
      </c>
      <c r="R16" s="69" t="s">
        <v>607</v>
      </c>
      <c r="S16" s="69" t="s">
        <v>608</v>
      </c>
      <c r="T16" s="69" t="s">
        <v>609</v>
      </c>
      <c r="U16" t="str">
        <f t="shared" si="1"/>
        <v>ALL Albanian Lek</v>
      </c>
      <c r="W16" s="154" t="s">
        <v>1275</v>
      </c>
      <c r="X16" s="155">
        <v>21</v>
      </c>
      <c r="Y16" s="155">
        <v>0</v>
      </c>
    </row>
    <row r="17" spans="1:25">
      <c r="A17" s="2">
        <v>7</v>
      </c>
      <c r="B17" s="1" t="s">
        <v>101</v>
      </c>
      <c r="C17" s="4" t="s">
        <v>4</v>
      </c>
      <c r="F17" s="106" t="e">
        <f>'Supplier Approval Form'!#REF!</f>
        <v>#REF!</v>
      </c>
      <c r="G17" s="48" t="s">
        <v>226</v>
      </c>
      <c r="H17" s="48" t="s">
        <v>225</v>
      </c>
      <c r="I17" s="48" t="s">
        <v>225</v>
      </c>
      <c r="J17" s="107" t="s">
        <v>226</v>
      </c>
      <c r="K17" s="4"/>
      <c r="L17" t="str">
        <f t="shared" si="2"/>
        <v>TCAMA000 Shock Absorbers</v>
      </c>
      <c r="M17" s="1" t="s">
        <v>349</v>
      </c>
      <c r="N17" s="92" t="s">
        <v>476</v>
      </c>
      <c r="O17" s="1" t="s">
        <v>350</v>
      </c>
      <c r="P17" s="3">
        <v>8</v>
      </c>
      <c r="R17" s="69" t="s">
        <v>610</v>
      </c>
      <c r="S17" s="69" t="s">
        <v>611</v>
      </c>
      <c r="T17" s="69" t="s">
        <v>612</v>
      </c>
      <c r="U17" t="str">
        <f t="shared" si="1"/>
        <v>AMD Armenian Dram</v>
      </c>
      <c r="W17" s="154" t="s">
        <v>1276</v>
      </c>
      <c r="X17" s="155">
        <v>9</v>
      </c>
      <c r="Y17" s="155">
        <v>0</v>
      </c>
    </row>
    <row r="18" spans="1:25">
      <c r="A18" s="2">
        <v>8</v>
      </c>
      <c r="B18" s="4" t="s">
        <v>97</v>
      </c>
      <c r="C18" s="4" t="s">
        <v>5</v>
      </c>
      <c r="E18" t="s">
        <v>1696</v>
      </c>
      <c r="F18" s="106" t="e">
        <f>'Supplier Approval Form'!#REF!</f>
        <v>#REF!</v>
      </c>
      <c r="G18" s="48" t="s">
        <v>227</v>
      </c>
      <c r="H18" s="48" t="s">
        <v>225</v>
      </c>
      <c r="I18" s="48" t="s">
        <v>227</v>
      </c>
      <c r="J18" s="107" t="s">
        <v>227</v>
      </c>
      <c r="L18" t="str">
        <f t="shared" si="2"/>
        <v>TCAMAT000 Transmission</v>
      </c>
      <c r="M18" s="1" t="s">
        <v>351</v>
      </c>
      <c r="N18" s="92" t="s">
        <v>482</v>
      </c>
      <c r="O18" s="1" t="s">
        <v>352</v>
      </c>
      <c r="P18" s="3">
        <v>9</v>
      </c>
      <c r="R18" s="69" t="s">
        <v>613</v>
      </c>
      <c r="S18" s="69" t="s">
        <v>614</v>
      </c>
      <c r="T18" s="69" t="s">
        <v>615</v>
      </c>
      <c r="U18" t="str">
        <f t="shared" si="1"/>
        <v>ANG West Indian Guilder</v>
      </c>
      <c r="W18" s="156" t="s">
        <v>1277</v>
      </c>
      <c r="X18" s="157">
        <v>77</v>
      </c>
      <c r="Y18" s="157">
        <v>1</v>
      </c>
    </row>
    <row r="19" spans="1:25">
      <c r="A19" s="2">
        <v>9</v>
      </c>
      <c r="B19" s="1" t="s">
        <v>100</v>
      </c>
      <c r="C19" s="4" t="s">
        <v>69</v>
      </c>
      <c r="E19" s="1" t="str">
        <f>$B$3</f>
        <v>Please select!</v>
      </c>
      <c r="F19" s="106" t="str">
        <f>'Supplier Approval Form'!B26</f>
        <v>Cyber Security:</v>
      </c>
      <c r="G19" s="48" t="s">
        <v>225</v>
      </c>
      <c r="H19" s="48" t="s">
        <v>225</v>
      </c>
      <c r="I19" s="48" t="s">
        <v>225</v>
      </c>
      <c r="J19" s="107" t="s">
        <v>225</v>
      </c>
      <c r="K19" s="4"/>
      <c r="L19" t="str">
        <f t="shared" si="2"/>
        <v>TCAMB000 Brakes &amp; Accessories</v>
      </c>
      <c r="M19" s="1" t="s">
        <v>353</v>
      </c>
      <c r="N19" s="92" t="s">
        <v>477</v>
      </c>
      <c r="O19" s="1" t="s">
        <v>354</v>
      </c>
      <c r="P19" s="3">
        <v>10</v>
      </c>
      <c r="R19" s="69" t="s">
        <v>616</v>
      </c>
      <c r="S19" s="69" t="s">
        <v>617</v>
      </c>
      <c r="T19" s="69" t="s">
        <v>618</v>
      </c>
      <c r="U19" t="str">
        <f t="shared" si="1"/>
        <v>AON Angolan New Kwanza</v>
      </c>
      <c r="W19" s="156" t="s">
        <v>1278</v>
      </c>
      <c r="X19" s="157">
        <v>85</v>
      </c>
      <c r="Y19" s="157">
        <v>1</v>
      </c>
    </row>
    <row r="20" spans="1:25">
      <c r="A20" s="2">
        <v>10</v>
      </c>
      <c r="B20" s="4" t="s">
        <v>1466</v>
      </c>
      <c r="C20" s="4" t="s">
        <v>6</v>
      </c>
      <c r="E20" t="str">
        <f>HLOOKUP(Language,Translation,298)</f>
        <v>DBP - Directed buy parts</v>
      </c>
      <c r="F20" s="106" t="str">
        <f>'Supplier Approval Form'!A29</f>
        <v>BENTELER General Terms and Conditions</v>
      </c>
      <c r="G20" s="48" t="s">
        <v>225</v>
      </c>
      <c r="H20" s="48" t="s">
        <v>225</v>
      </c>
      <c r="I20" s="48" t="s">
        <v>225</v>
      </c>
      <c r="J20" s="107" t="s">
        <v>225</v>
      </c>
      <c r="L20" t="str">
        <f t="shared" si="2"/>
        <v>TCAMB001 Brake Pipe / Brake Hose</v>
      </c>
      <c r="M20" s="1" t="s">
        <v>355</v>
      </c>
      <c r="N20" s="20" t="s">
        <v>510</v>
      </c>
      <c r="O20" s="1" t="s">
        <v>356</v>
      </c>
      <c r="P20" s="3">
        <v>11</v>
      </c>
      <c r="R20" s="69" t="s">
        <v>619</v>
      </c>
      <c r="S20" s="69" t="s">
        <v>620</v>
      </c>
      <c r="T20" s="69" t="s">
        <v>621</v>
      </c>
      <c r="U20" t="str">
        <f t="shared" si="1"/>
        <v>AOR Angolan Kwanza Reajustado</v>
      </c>
      <c r="W20" s="154" t="s">
        <v>1279</v>
      </c>
      <c r="X20" s="155">
        <v>18</v>
      </c>
      <c r="Y20" s="155">
        <v>0</v>
      </c>
    </row>
    <row r="21" spans="1:25">
      <c r="A21" s="2">
        <v>11</v>
      </c>
      <c r="B21" s="1" t="s">
        <v>96</v>
      </c>
      <c r="C21" s="4" t="s">
        <v>7</v>
      </c>
      <c r="E21" t="str">
        <f>HLOOKUP(Language,Translation,299)</f>
        <v>LT - Limited time</v>
      </c>
      <c r="F21" s="106" t="str">
        <f>'Supplier Approval Form'!A30</f>
        <v>Proof of Insurance</v>
      </c>
      <c r="G21" s="48" t="s">
        <v>225</v>
      </c>
      <c r="H21" s="48" t="s">
        <v>225</v>
      </c>
      <c r="I21" s="48" t="s">
        <v>225</v>
      </c>
      <c r="J21" s="107" t="s">
        <v>225</v>
      </c>
      <c r="K21" s="4"/>
      <c r="L21" t="str">
        <f t="shared" si="2"/>
        <v>TCAMC000 Steering Systems</v>
      </c>
      <c r="M21" s="1" t="s">
        <v>357</v>
      </c>
      <c r="N21" s="92" t="s">
        <v>478</v>
      </c>
      <c r="O21" s="1" t="s">
        <v>358</v>
      </c>
      <c r="P21" s="3">
        <v>12</v>
      </c>
      <c r="R21" s="69" t="s">
        <v>622</v>
      </c>
      <c r="S21" s="69" t="s">
        <v>623</v>
      </c>
      <c r="T21" s="69" t="s">
        <v>624</v>
      </c>
      <c r="U21" t="str">
        <f t="shared" si="1"/>
        <v>ARS Argentine Peso</v>
      </c>
      <c r="W21" s="156" t="s">
        <v>1280</v>
      </c>
      <c r="X21" s="157">
        <v>126</v>
      </c>
      <c r="Y21" s="157">
        <v>1</v>
      </c>
    </row>
    <row r="22" spans="1:25">
      <c r="A22" s="2">
        <v>12</v>
      </c>
      <c r="B22" s="4" t="s">
        <v>186</v>
      </c>
      <c r="C22" s="1" t="s">
        <v>1198</v>
      </c>
      <c r="E22" t="str">
        <f>HLOOKUP(Language,Translation,300)</f>
        <v>PR - Project restricted</v>
      </c>
      <c r="F22" s="106" t="e">
        <f>'Supplier Approval Form'!#REF!</f>
        <v>#REF!</v>
      </c>
      <c r="G22" s="48" t="s">
        <v>225</v>
      </c>
      <c r="H22" s="48" t="s">
        <v>1456</v>
      </c>
      <c r="I22" s="48" t="s">
        <v>226</v>
      </c>
      <c r="J22" s="107" t="s">
        <v>227</v>
      </c>
      <c r="L22" t="str">
        <f t="shared" si="2"/>
        <v>TCAMD000 Drive Shafts</v>
      </c>
      <c r="M22" s="1" t="s">
        <v>359</v>
      </c>
      <c r="N22" s="92" t="s">
        <v>479</v>
      </c>
      <c r="O22" s="1" t="s">
        <v>360</v>
      </c>
      <c r="P22" s="3">
        <v>13</v>
      </c>
      <c r="R22" s="69" t="s">
        <v>625</v>
      </c>
      <c r="S22" s="69" t="s">
        <v>626</v>
      </c>
      <c r="T22" s="69" t="s">
        <v>627</v>
      </c>
      <c r="U22" t="str">
        <f t="shared" si="1"/>
        <v>ATS Austrian Schilling</v>
      </c>
      <c r="W22" s="154" t="s">
        <v>1281</v>
      </c>
      <c r="X22" s="155">
        <v>4</v>
      </c>
      <c r="Y22" s="155">
        <v>0</v>
      </c>
    </row>
    <row r="23" spans="1:25">
      <c r="A23" s="2">
        <v>13</v>
      </c>
      <c r="B23" s="1" t="s">
        <v>98</v>
      </c>
      <c r="C23" s="4" t="s">
        <v>3</v>
      </c>
      <c r="E23" t="str">
        <f>HLOOKUP(Language,Translation,301)</f>
        <v>SA - Special approval</v>
      </c>
      <c r="F23" s="106" t="e">
        <f>'Supplier Approval Form'!#REF!</f>
        <v>#REF!</v>
      </c>
      <c r="G23" s="48" t="s">
        <v>225</v>
      </c>
      <c r="H23" s="48" t="s">
        <v>1458</v>
      </c>
      <c r="I23" s="48" t="s">
        <v>226</v>
      </c>
      <c r="J23" s="107" t="s">
        <v>226</v>
      </c>
      <c r="K23" s="4"/>
      <c r="L23" t="str">
        <f t="shared" si="2"/>
        <v>TCAMF000 ZSB Modul Components</v>
      </c>
      <c r="M23" s="1" t="s">
        <v>361</v>
      </c>
      <c r="N23" s="92" t="s">
        <v>480</v>
      </c>
      <c r="O23" s="1" t="s">
        <v>362</v>
      </c>
      <c r="P23" s="3">
        <v>14</v>
      </c>
      <c r="R23" s="69" t="s">
        <v>628</v>
      </c>
      <c r="S23" s="69" t="s">
        <v>629</v>
      </c>
      <c r="T23" s="69" t="s">
        <v>630</v>
      </c>
      <c r="U23" t="str">
        <f t="shared" si="1"/>
        <v>AUD Australian Dollar</v>
      </c>
      <c r="W23" s="154" t="s">
        <v>1282</v>
      </c>
      <c r="X23" s="155">
        <v>45</v>
      </c>
      <c r="Y23" s="155">
        <v>0</v>
      </c>
    </row>
    <row r="24" spans="1:25">
      <c r="A24" s="2">
        <v>14</v>
      </c>
      <c r="B24" s="1" t="s">
        <v>108</v>
      </c>
      <c r="C24" s="4" t="s">
        <v>106</v>
      </c>
      <c r="E24" t="str">
        <f>HLOOKUP(Language,Translation,302)</f>
        <v>PT - only for Prototypes</v>
      </c>
      <c r="F24" s="106" t="e">
        <f>'Supplier Approval Form'!#REF!</f>
        <v>#REF!</v>
      </c>
      <c r="G24" s="48" t="s">
        <v>225</v>
      </c>
      <c r="H24" s="48" t="s">
        <v>1457</v>
      </c>
      <c r="I24" s="48" t="s">
        <v>227</v>
      </c>
      <c r="J24" s="107" t="s">
        <v>227</v>
      </c>
      <c r="L24" t="str">
        <f t="shared" si="2"/>
        <v>TCAMS000 Springs &amp; Stabilizers</v>
      </c>
      <c r="M24" s="1" t="s">
        <v>363</v>
      </c>
      <c r="N24" s="92" t="s">
        <v>481</v>
      </c>
      <c r="O24" s="1" t="s">
        <v>364</v>
      </c>
      <c r="P24" s="3">
        <v>15</v>
      </c>
      <c r="R24" s="69" t="s">
        <v>631</v>
      </c>
      <c r="S24" s="69" t="s">
        <v>632</v>
      </c>
      <c r="T24" s="69" t="s">
        <v>633</v>
      </c>
      <c r="U24" t="str">
        <f t="shared" si="1"/>
        <v>AWG Aruban Guilder</v>
      </c>
      <c r="W24" s="154" t="s">
        <v>1283</v>
      </c>
      <c r="X24" s="155">
        <v>33</v>
      </c>
      <c r="Y24" s="155">
        <v>0</v>
      </c>
    </row>
    <row r="25" spans="1:25">
      <c r="A25" s="2">
        <v>15</v>
      </c>
      <c r="B25" s="1" t="s">
        <v>109</v>
      </c>
      <c r="C25" s="1" t="s">
        <v>107</v>
      </c>
      <c r="F25" s="106" t="e">
        <f>'Supplier Approval Form'!#REF!</f>
        <v>#REF!</v>
      </c>
      <c r="G25" s="48" t="s">
        <v>550</v>
      </c>
      <c r="H25" s="48" t="s">
        <v>227</v>
      </c>
      <c r="I25" s="48" t="s">
        <v>227</v>
      </c>
      <c r="J25" s="107" t="s">
        <v>227</v>
      </c>
      <c r="L25" t="str">
        <f t="shared" si="2"/>
        <v>TCAMW000 Bearings</v>
      </c>
      <c r="M25" s="1" t="s">
        <v>365</v>
      </c>
      <c r="N25" s="92" t="s">
        <v>483</v>
      </c>
      <c r="O25" s="1" t="s">
        <v>366</v>
      </c>
      <c r="P25" s="3">
        <v>16</v>
      </c>
      <c r="R25" s="69" t="s">
        <v>634</v>
      </c>
      <c r="S25" s="69" t="s">
        <v>635</v>
      </c>
      <c r="T25" s="69" t="s">
        <v>636</v>
      </c>
      <c r="U25" t="str">
        <f t="shared" si="1"/>
        <v>AZM Azerbaijan Manat</v>
      </c>
      <c r="W25" s="158" t="s">
        <v>1284</v>
      </c>
      <c r="X25" s="159">
        <v>137</v>
      </c>
      <c r="Y25" s="159">
        <v>100</v>
      </c>
    </row>
    <row r="26" spans="1:25">
      <c r="A26" s="2">
        <v>16</v>
      </c>
      <c r="B26" s="1" t="s">
        <v>99</v>
      </c>
      <c r="C26" s="4" t="s">
        <v>187</v>
      </c>
      <c r="F26" s="110" t="str">
        <f>'Supplier Approval Form'!A32</f>
        <v>Business Partner Check</v>
      </c>
      <c r="G26" s="108" t="s">
        <v>225</v>
      </c>
      <c r="H26" s="108" t="s">
        <v>225</v>
      </c>
      <c r="I26" s="108" t="s">
        <v>225</v>
      </c>
      <c r="J26" s="109" t="s">
        <v>225</v>
      </c>
      <c r="L26" t="str">
        <f t="shared" si="2"/>
        <v>TCAP0000 Plastics, Rubber</v>
      </c>
      <c r="M26" s="1" t="s">
        <v>367</v>
      </c>
      <c r="N26" s="92" t="s">
        <v>1185</v>
      </c>
      <c r="O26" s="1" t="s">
        <v>368</v>
      </c>
      <c r="P26" s="3">
        <v>17</v>
      </c>
      <c r="R26" s="69" t="s">
        <v>637</v>
      </c>
      <c r="S26" s="69" t="s">
        <v>638</v>
      </c>
      <c r="T26" s="69" t="s">
        <v>638</v>
      </c>
      <c r="U26" t="str">
        <f t="shared" si="1"/>
        <v>BAM Bosnia and Herzegovina Convertible Mark</v>
      </c>
      <c r="W26" s="154" t="s">
        <v>1285</v>
      </c>
      <c r="X26" s="155">
        <v>49</v>
      </c>
      <c r="Y26" s="155">
        <v>0</v>
      </c>
    </row>
    <row r="27" spans="1:25" ht="12.75" customHeight="1">
      <c r="A27" s="2">
        <v>17</v>
      </c>
      <c r="B27" s="1" t="s">
        <v>1163</v>
      </c>
      <c r="C27" s="4" t="s">
        <v>1164</v>
      </c>
      <c r="L27" t="str">
        <f t="shared" si="2"/>
        <v>TCAR0000 Rubber-Metal</v>
      </c>
      <c r="M27" s="1" t="s">
        <v>369</v>
      </c>
      <c r="N27" s="92" t="s">
        <v>463</v>
      </c>
      <c r="O27" s="1" t="s">
        <v>370</v>
      </c>
      <c r="P27" s="3">
        <v>18</v>
      </c>
      <c r="R27" s="69" t="s">
        <v>639</v>
      </c>
      <c r="S27" s="69" t="s">
        <v>640</v>
      </c>
      <c r="T27" s="69" t="s">
        <v>641</v>
      </c>
      <c r="U27" t="str">
        <f t="shared" si="1"/>
        <v>BBD Barbados Dollar</v>
      </c>
      <c r="W27" s="156" t="s">
        <v>1286</v>
      </c>
      <c r="X27" s="157">
        <v>72</v>
      </c>
      <c r="Y27" s="157">
        <v>1</v>
      </c>
    </row>
    <row r="28" spans="1:25" ht="13.5" customHeight="1">
      <c r="A28" s="2">
        <v>18</v>
      </c>
      <c r="B28" s="1" t="s">
        <v>140</v>
      </c>
      <c r="C28" s="4" t="s">
        <v>103</v>
      </c>
      <c r="E28" t="s">
        <v>565</v>
      </c>
      <c r="L28" t="str">
        <f t="shared" si="2"/>
        <v>TCCCM000 Machinery &amp; Equipment</v>
      </c>
      <c r="M28" s="1" t="s">
        <v>371</v>
      </c>
      <c r="N28" s="92" t="s">
        <v>492</v>
      </c>
      <c r="O28" s="1" t="s">
        <v>372</v>
      </c>
      <c r="P28" s="3">
        <v>19</v>
      </c>
      <c r="R28" s="69" t="s">
        <v>642</v>
      </c>
      <c r="S28" s="69" t="s">
        <v>643</v>
      </c>
      <c r="T28" s="69" t="s">
        <v>644</v>
      </c>
      <c r="U28" t="str">
        <f t="shared" si="1"/>
        <v>BDT Bangladesh Taka</v>
      </c>
      <c r="W28" s="154" t="s">
        <v>1729</v>
      </c>
      <c r="X28" s="155">
        <v>31</v>
      </c>
      <c r="Y28" s="155">
        <v>0</v>
      </c>
    </row>
    <row r="29" spans="1:25">
      <c r="A29" s="2">
        <v>19</v>
      </c>
      <c r="B29" s="1" t="s">
        <v>188</v>
      </c>
      <c r="C29" s="1" t="s">
        <v>172</v>
      </c>
      <c r="E29" s="1" t="str">
        <f>$B$3</f>
        <v>Please select!</v>
      </c>
      <c r="L29" t="str">
        <f t="shared" si="2"/>
        <v>TCCCT000 Measuring &amp; Test Equipment</v>
      </c>
      <c r="M29" s="1" t="s">
        <v>373</v>
      </c>
      <c r="N29" s="92" t="s">
        <v>493</v>
      </c>
      <c r="O29" s="1" t="s">
        <v>374</v>
      </c>
      <c r="P29" s="3">
        <v>20</v>
      </c>
      <c r="R29" s="69" t="s">
        <v>645</v>
      </c>
      <c r="S29" s="69" t="s">
        <v>646</v>
      </c>
      <c r="T29" s="69" t="s">
        <v>647</v>
      </c>
      <c r="U29" t="str">
        <f t="shared" si="1"/>
        <v>BEF Belgian Franc</v>
      </c>
      <c r="W29" s="154" t="s">
        <v>1287</v>
      </c>
      <c r="X29" s="155">
        <v>35</v>
      </c>
      <c r="Y29" s="155">
        <v>0</v>
      </c>
    </row>
    <row r="30" spans="1:25" ht="12.75" customHeight="1">
      <c r="A30" s="2">
        <v>20</v>
      </c>
      <c r="B30" s="1" t="s">
        <v>110</v>
      </c>
      <c r="C30" s="1" t="s">
        <v>105</v>
      </c>
      <c r="E30" t="str">
        <f>HLOOKUP(Language,Translation,280)</f>
        <v>Requirements fulfilled</v>
      </c>
      <c r="L30" t="str">
        <f t="shared" si="2"/>
        <v>TCEE0000 Electrical Systems</v>
      </c>
      <c r="M30" s="1" t="s">
        <v>375</v>
      </c>
      <c r="N30" s="92" t="s">
        <v>464</v>
      </c>
      <c r="O30" s="1" t="s">
        <v>376</v>
      </c>
      <c r="P30" s="3">
        <v>21</v>
      </c>
      <c r="R30" s="69" t="s">
        <v>648</v>
      </c>
      <c r="S30" s="69" t="s">
        <v>649</v>
      </c>
      <c r="T30" s="69" t="s">
        <v>650</v>
      </c>
      <c r="U30" t="str">
        <f t="shared" si="1"/>
        <v>BGN Bulgarian Lev</v>
      </c>
      <c r="W30" s="154" t="s">
        <v>1288</v>
      </c>
      <c r="X30" s="155">
        <v>5</v>
      </c>
      <c r="Y30" s="155">
        <v>0</v>
      </c>
    </row>
    <row r="31" spans="1:25" ht="13.5" customHeight="1">
      <c r="A31" s="2">
        <v>21</v>
      </c>
      <c r="B31" s="1" t="s">
        <v>1529</v>
      </c>
      <c r="C31" s="1" t="s">
        <v>1530</v>
      </c>
      <c r="E31" t="str">
        <f>HLOOKUP(Language,Translation,281)</f>
        <v>Requirements conditionally fulfilled</v>
      </c>
      <c r="L31" t="str">
        <f t="shared" si="2"/>
        <v>TCEEC000 Electronic Control Units</v>
      </c>
      <c r="M31" s="1" t="s">
        <v>377</v>
      </c>
      <c r="N31" s="92" t="s">
        <v>484</v>
      </c>
      <c r="O31" s="1" t="s">
        <v>378</v>
      </c>
      <c r="P31" s="3">
        <v>22</v>
      </c>
      <c r="R31" s="69" t="s">
        <v>651</v>
      </c>
      <c r="S31" s="69" t="s">
        <v>652</v>
      </c>
      <c r="T31" s="69" t="s">
        <v>653</v>
      </c>
      <c r="U31" t="str">
        <f t="shared" si="1"/>
        <v>BHD Bahrain Dinar</v>
      </c>
      <c r="W31" s="154" t="s">
        <v>1289</v>
      </c>
      <c r="X31" s="155">
        <v>7</v>
      </c>
      <c r="Y31" s="155">
        <v>0</v>
      </c>
    </row>
    <row r="32" spans="1:25">
      <c r="A32" s="2">
        <v>22</v>
      </c>
      <c r="B32" s="113" t="s">
        <v>543</v>
      </c>
      <c r="C32" s="1" t="s">
        <v>543</v>
      </c>
      <c r="E32" t="str">
        <f>HLOOKUP(Language,Translation,282)</f>
        <v>Requirements not fulfilled</v>
      </c>
      <c r="L32" t="str">
        <f t="shared" si="2"/>
        <v>TCEEM000 Electric Motors</v>
      </c>
      <c r="M32" s="1" t="s">
        <v>379</v>
      </c>
      <c r="N32" s="92" t="s">
        <v>485</v>
      </c>
      <c r="O32" s="1" t="s">
        <v>380</v>
      </c>
      <c r="P32" s="3">
        <v>23</v>
      </c>
      <c r="R32" s="69" t="s">
        <v>654</v>
      </c>
      <c r="S32" s="69" t="s">
        <v>655</v>
      </c>
      <c r="T32" s="69" t="s">
        <v>656</v>
      </c>
      <c r="U32" t="str">
        <f t="shared" si="1"/>
        <v>BIF Burundi Franc</v>
      </c>
      <c r="W32" s="156" t="s">
        <v>1290</v>
      </c>
      <c r="X32" s="157">
        <v>101</v>
      </c>
      <c r="Y32" s="157">
        <v>1</v>
      </c>
    </row>
    <row r="33" spans="1:25">
      <c r="A33" s="2">
        <v>23</v>
      </c>
      <c r="B33" s="1" t="s">
        <v>77</v>
      </c>
      <c r="C33" s="1" t="s">
        <v>12</v>
      </c>
      <c r="K33" s="5"/>
      <c r="L33" t="str">
        <f t="shared" si="2"/>
        <v>TCEWA000 Cutting</v>
      </c>
      <c r="M33" s="1" t="s">
        <v>381</v>
      </c>
      <c r="N33" s="92" t="s">
        <v>494</v>
      </c>
      <c r="O33" s="1" t="s">
        <v>382</v>
      </c>
      <c r="P33" s="3">
        <v>24</v>
      </c>
      <c r="R33" s="69" t="s">
        <v>657</v>
      </c>
      <c r="S33" s="69" t="s">
        <v>658</v>
      </c>
      <c r="T33" s="69" t="s">
        <v>659</v>
      </c>
      <c r="U33" t="str">
        <f t="shared" si="1"/>
        <v>BMD Bermudan Dollar</v>
      </c>
      <c r="W33" s="156" t="s">
        <v>1291</v>
      </c>
      <c r="X33" s="157">
        <v>101</v>
      </c>
      <c r="Y33" s="157">
        <v>1</v>
      </c>
    </row>
    <row r="34" spans="1:25">
      <c r="A34" s="2">
        <v>24</v>
      </c>
      <c r="B34" s="6" t="s">
        <v>78</v>
      </c>
      <c r="C34" s="6" t="s">
        <v>13</v>
      </c>
      <c r="L34" t="str">
        <f t="shared" si="2"/>
        <v>TCEWG001 Service-Serial, Packaging, Labeling, Sorting</v>
      </c>
      <c r="M34" s="1" t="s">
        <v>383</v>
      </c>
      <c r="N34" s="92" t="s">
        <v>1186</v>
      </c>
      <c r="O34" s="1" t="s">
        <v>1187</v>
      </c>
      <c r="P34" s="3">
        <v>25</v>
      </c>
      <c r="R34" s="69" t="s">
        <v>660</v>
      </c>
      <c r="S34" s="69" t="s">
        <v>661</v>
      </c>
      <c r="T34" s="69" t="s">
        <v>661</v>
      </c>
      <c r="U34" t="str">
        <f t="shared" si="1"/>
        <v>BND Brunei Dollar</v>
      </c>
      <c r="W34" s="154" t="s">
        <v>1292</v>
      </c>
      <c r="X34" s="155">
        <v>18</v>
      </c>
      <c r="Y34" s="155">
        <v>0</v>
      </c>
    </row>
    <row r="35" spans="1:25">
      <c r="A35" s="2">
        <v>25</v>
      </c>
      <c r="B35" s="1" t="s">
        <v>1176</v>
      </c>
      <c r="C35" s="1" t="s">
        <v>1165</v>
      </c>
      <c r="E35" s="8" t="s">
        <v>1251</v>
      </c>
      <c r="L35" t="str">
        <f t="shared" si="2"/>
        <v>TCEWH000 Heat Treatment</v>
      </c>
      <c r="M35" s="1" t="s">
        <v>384</v>
      </c>
      <c r="N35" s="92" t="s">
        <v>495</v>
      </c>
      <c r="O35" s="1" t="s">
        <v>385</v>
      </c>
      <c r="P35" s="3">
        <v>26</v>
      </c>
      <c r="R35" s="69" t="s">
        <v>662</v>
      </c>
      <c r="S35" s="69" t="s">
        <v>663</v>
      </c>
      <c r="T35" s="69" t="s">
        <v>663</v>
      </c>
      <c r="U35" t="str">
        <f t="shared" si="1"/>
        <v>BOB Boliviano</v>
      </c>
      <c r="W35" s="154" t="s">
        <v>1293</v>
      </c>
      <c r="X35" s="155">
        <v>24</v>
      </c>
      <c r="Y35" s="155">
        <v>0</v>
      </c>
    </row>
    <row r="36" spans="1:25">
      <c r="A36" s="2">
        <v>26</v>
      </c>
      <c r="B36" s="1" t="s">
        <v>1175</v>
      </c>
      <c r="C36" s="1" t="s">
        <v>141</v>
      </c>
      <c r="E36" s="1" t="str">
        <f>$B$3</f>
        <v>Please select!</v>
      </c>
      <c r="F36" s="2" t="str">
        <f>B11</f>
        <v>DE</v>
      </c>
      <c r="G36" s="2" t="str">
        <f>C11</f>
        <v>EN</v>
      </c>
      <c r="L36" t="str">
        <f t="shared" si="2"/>
        <v>TCEWM000 Machining</v>
      </c>
      <c r="M36" s="1" t="s">
        <v>386</v>
      </c>
      <c r="N36" s="92" t="s">
        <v>496</v>
      </c>
      <c r="O36" s="1" t="s">
        <v>1188</v>
      </c>
      <c r="P36" s="3">
        <v>27</v>
      </c>
      <c r="R36" s="69" t="s">
        <v>664</v>
      </c>
      <c r="S36" s="69" t="s">
        <v>665</v>
      </c>
      <c r="T36" s="69" t="s">
        <v>666</v>
      </c>
      <c r="U36" t="str">
        <f t="shared" si="1"/>
        <v>BRL Brazilian Real</v>
      </c>
      <c r="W36" s="97" t="s">
        <v>1294</v>
      </c>
      <c r="X36" s="98"/>
      <c r="Y36" s="98">
        <v>100</v>
      </c>
    </row>
    <row r="37" spans="1:25">
      <c r="A37" s="2">
        <v>27</v>
      </c>
      <c r="B37" s="1" t="s">
        <v>1174</v>
      </c>
      <c r="C37" s="1" t="s">
        <v>142</v>
      </c>
      <c r="E37" s="1" t="str">
        <f>HLOOKUP(Language,Translation,24)</f>
        <v>No</v>
      </c>
      <c r="F37" t="s">
        <v>1146</v>
      </c>
      <c r="G37" s="1" t="s">
        <v>1140</v>
      </c>
      <c r="K37" s="8"/>
      <c r="L37" t="str">
        <f t="shared" si="2"/>
        <v>TCEWS000 Surface Treatment Service</v>
      </c>
      <c r="M37" s="1" t="s">
        <v>387</v>
      </c>
      <c r="N37" s="92" t="s">
        <v>498</v>
      </c>
      <c r="O37" s="1" t="s">
        <v>388</v>
      </c>
      <c r="P37" s="3">
        <v>28</v>
      </c>
      <c r="R37" s="69" t="s">
        <v>667</v>
      </c>
      <c r="S37" s="69" t="s">
        <v>668</v>
      </c>
      <c r="T37" s="69" t="s">
        <v>669</v>
      </c>
      <c r="U37" t="str">
        <f t="shared" si="1"/>
        <v>BSD Bahaman Dollar</v>
      </c>
      <c r="W37" s="156" t="s">
        <v>1295</v>
      </c>
      <c r="X37" s="157">
        <v>150</v>
      </c>
      <c r="Y37" s="157">
        <v>1</v>
      </c>
    </row>
    <row r="38" spans="1:25">
      <c r="A38" s="2">
        <v>28</v>
      </c>
      <c r="B38" s="1" t="s">
        <v>1173</v>
      </c>
      <c r="C38" s="1" t="s">
        <v>143</v>
      </c>
      <c r="E38" s="4" t="s">
        <v>1252</v>
      </c>
      <c r="F38" t="s">
        <v>1147</v>
      </c>
      <c r="G38" s="1" t="s">
        <v>1141</v>
      </c>
      <c r="K38" s="8"/>
      <c r="L38" t="str">
        <f t="shared" si="2"/>
        <v>TCEWSV02 Surface Treatment, De-Painting</v>
      </c>
      <c r="M38" s="1" t="s">
        <v>389</v>
      </c>
      <c r="N38" s="92" t="s">
        <v>511</v>
      </c>
      <c r="O38" s="1" t="s">
        <v>390</v>
      </c>
      <c r="P38" s="3">
        <v>29</v>
      </c>
      <c r="R38" s="69" t="s">
        <v>670</v>
      </c>
      <c r="S38" s="69" t="s">
        <v>671</v>
      </c>
      <c r="T38" s="69" t="s">
        <v>671</v>
      </c>
      <c r="U38" t="str">
        <f t="shared" si="1"/>
        <v>BTN Bhutan Ngultrum</v>
      </c>
      <c r="W38" s="156" t="s">
        <v>1296</v>
      </c>
      <c r="X38" s="157">
        <v>101</v>
      </c>
      <c r="Y38" s="157">
        <v>1</v>
      </c>
    </row>
    <row r="39" spans="1:25">
      <c r="A39" s="2">
        <v>29</v>
      </c>
      <c r="B39" s="1" t="s">
        <v>1486</v>
      </c>
      <c r="C39" s="1" t="s">
        <v>1470</v>
      </c>
      <c r="E39" s="4" t="s">
        <v>1253</v>
      </c>
      <c r="F39" t="s">
        <v>1148</v>
      </c>
      <c r="G39" s="1" t="s">
        <v>1142</v>
      </c>
      <c r="K39" s="9"/>
      <c r="L39" t="str">
        <f t="shared" si="2"/>
        <v>TCEXA000 EGR Valves</v>
      </c>
      <c r="M39" s="1" t="s">
        <v>391</v>
      </c>
      <c r="N39" s="92" t="s">
        <v>486</v>
      </c>
      <c r="O39" s="1" t="s">
        <v>392</v>
      </c>
      <c r="P39" s="3">
        <v>30</v>
      </c>
      <c r="R39" s="69" t="s">
        <v>672</v>
      </c>
      <c r="S39" s="69" t="s">
        <v>673</v>
      </c>
      <c r="T39" s="69" t="s">
        <v>674</v>
      </c>
      <c r="U39" t="str">
        <f t="shared" si="1"/>
        <v>BWP Botswana Pula</v>
      </c>
      <c r="W39" s="156" t="s">
        <v>1297</v>
      </c>
      <c r="X39" s="157">
        <v>116</v>
      </c>
      <c r="Y39" s="157">
        <v>1</v>
      </c>
    </row>
    <row r="40" spans="1:25">
      <c r="A40" s="2">
        <v>30</v>
      </c>
      <c r="B40" s="1" t="s">
        <v>1172</v>
      </c>
      <c r="C40" s="1" t="s">
        <v>144</v>
      </c>
      <c r="E40" s="4" t="s">
        <v>1209</v>
      </c>
      <c r="F40" t="s">
        <v>1149</v>
      </c>
      <c r="G40" s="1" t="s">
        <v>1143</v>
      </c>
      <c r="K40" s="8"/>
      <c r="L40" t="str">
        <f t="shared" si="2"/>
        <v>TCEXC000 Catalytic Converters</v>
      </c>
      <c r="M40" s="1" t="s">
        <v>393</v>
      </c>
      <c r="N40" s="92" t="s">
        <v>487</v>
      </c>
      <c r="O40" s="1" t="s">
        <v>394</v>
      </c>
      <c r="P40" s="3">
        <v>31</v>
      </c>
      <c r="R40" s="69" t="s">
        <v>675</v>
      </c>
      <c r="S40" s="69" t="s">
        <v>676</v>
      </c>
      <c r="T40" s="69" t="s">
        <v>677</v>
      </c>
      <c r="U40" t="str">
        <f t="shared" si="1"/>
        <v>BYB Belorussian Ruble</v>
      </c>
      <c r="W40" s="156" t="s">
        <v>1298</v>
      </c>
      <c r="X40" s="157">
        <v>116</v>
      </c>
      <c r="Y40" s="157">
        <v>1</v>
      </c>
    </row>
    <row r="41" spans="1:25">
      <c r="A41" s="2">
        <v>31</v>
      </c>
      <c r="B41" s="1" t="s">
        <v>294</v>
      </c>
      <c r="C41" s="1" t="s">
        <v>145</v>
      </c>
      <c r="E41" s="4" t="s">
        <v>1219</v>
      </c>
      <c r="F41" t="s">
        <v>1150</v>
      </c>
      <c r="G41" s="1" t="s">
        <v>1144</v>
      </c>
      <c r="H41" s="5"/>
      <c r="I41" s="1"/>
      <c r="K41" s="8"/>
      <c r="L41" t="str">
        <f t="shared" si="2"/>
        <v>TCEXD000 Dampers</v>
      </c>
      <c r="M41" s="1" t="s">
        <v>395</v>
      </c>
      <c r="N41" s="92" t="s">
        <v>488</v>
      </c>
      <c r="O41" s="1" t="s">
        <v>396</v>
      </c>
      <c r="P41" s="3">
        <v>32</v>
      </c>
      <c r="R41" s="69" t="s">
        <v>678</v>
      </c>
      <c r="S41" s="69" t="s">
        <v>679</v>
      </c>
      <c r="T41" s="69" t="s">
        <v>680</v>
      </c>
      <c r="U41" t="str">
        <f t="shared" si="1"/>
        <v>BZD Belize Dollar</v>
      </c>
      <c r="W41" s="156" t="s">
        <v>1299</v>
      </c>
      <c r="X41" s="157">
        <v>94</v>
      </c>
      <c r="Y41" s="157">
        <v>1</v>
      </c>
    </row>
    <row r="42" spans="1:25">
      <c r="A42" s="2">
        <v>32</v>
      </c>
      <c r="B42" s="22" t="s">
        <v>293</v>
      </c>
      <c r="C42" s="22" t="s">
        <v>146</v>
      </c>
      <c r="E42" s="1" t="str">
        <f>HLOOKUP(Language,Translation,262)</f>
        <v>Self-disclosure VDA ISA</v>
      </c>
      <c r="F42" t="s">
        <v>1151</v>
      </c>
      <c r="G42" s="1" t="s">
        <v>1145</v>
      </c>
      <c r="J42" s="5"/>
      <c r="K42" s="8"/>
      <c r="L42" t="str">
        <f t="shared" si="2"/>
        <v>TCEXF000 Fittings</v>
      </c>
      <c r="M42" s="1" t="s">
        <v>397</v>
      </c>
      <c r="N42" s="92" t="s">
        <v>489</v>
      </c>
      <c r="O42" s="1" t="s">
        <v>398</v>
      </c>
      <c r="P42" s="3">
        <v>33</v>
      </c>
      <c r="R42" s="69" t="s">
        <v>25</v>
      </c>
      <c r="S42" s="69" t="s">
        <v>681</v>
      </c>
      <c r="T42" s="69" t="s">
        <v>682</v>
      </c>
      <c r="U42" t="str">
        <f t="shared" ref="U42:U73" si="3">CONCATENATE(R42&amp;" "&amp;IF(Language=$B$11,S42,T42))</f>
        <v>CAD Canadian Dollar</v>
      </c>
      <c r="W42" s="158" t="s">
        <v>1300</v>
      </c>
      <c r="X42" s="159">
        <v>63</v>
      </c>
      <c r="Y42" s="159">
        <v>100</v>
      </c>
    </row>
    <row r="43" spans="1:25">
      <c r="A43" s="2">
        <v>33</v>
      </c>
      <c r="B43" s="19" t="s">
        <v>1169</v>
      </c>
      <c r="C43" s="20" t="s">
        <v>1168</v>
      </c>
      <c r="E43" s="1" t="str">
        <f>HLOOKUP(Language,Translation,263)</f>
        <v>Other certifications</v>
      </c>
      <c r="F43" s="11"/>
      <c r="H43" s="8"/>
      <c r="J43" s="8"/>
      <c r="K43" s="8"/>
      <c r="L43" t="str">
        <f t="shared" ref="L43:L63" si="4">M43&amp;" "&amp;HLOOKUP(Language,TCname,P43)</f>
        <v>TCEXS000 EES Special Parts</v>
      </c>
      <c r="M43" s="1" t="s">
        <v>399</v>
      </c>
      <c r="N43" s="92" t="s">
        <v>490</v>
      </c>
      <c r="O43" s="1" t="s">
        <v>400</v>
      </c>
      <c r="P43" s="3">
        <v>34</v>
      </c>
      <c r="R43" s="69" t="s">
        <v>683</v>
      </c>
      <c r="S43" s="69" t="s">
        <v>684</v>
      </c>
      <c r="T43" s="69" t="s">
        <v>685</v>
      </c>
      <c r="U43" t="str">
        <f t="shared" si="3"/>
        <v>CFP French Franc (Pacific Islands)</v>
      </c>
      <c r="W43" s="154" t="s">
        <v>1301</v>
      </c>
      <c r="X43" s="155">
        <v>13</v>
      </c>
      <c r="Y43" s="155">
        <v>0</v>
      </c>
    </row>
    <row r="44" spans="1:25">
      <c r="A44" s="2">
        <v>34</v>
      </c>
      <c r="B44" s="19" t="s">
        <v>586</v>
      </c>
      <c r="C44" t="s">
        <v>587</v>
      </c>
      <c r="F44" s="7"/>
      <c r="G44" s="12"/>
      <c r="H44" s="7"/>
      <c r="I44" s="13"/>
      <c r="J44" s="8"/>
      <c r="K44" s="11"/>
      <c r="L44" t="str">
        <f t="shared" si="4"/>
        <v>TCEXW000 Gaskets</v>
      </c>
      <c r="M44" s="1" t="s">
        <v>401</v>
      </c>
      <c r="N44" s="92" t="s">
        <v>491</v>
      </c>
      <c r="O44" s="1" t="s">
        <v>402</v>
      </c>
      <c r="P44" s="3">
        <v>35</v>
      </c>
      <c r="R44" s="69" t="s">
        <v>686</v>
      </c>
      <c r="S44" s="69" t="s">
        <v>687</v>
      </c>
      <c r="T44" s="69" t="s">
        <v>688</v>
      </c>
      <c r="U44" t="str">
        <f t="shared" si="3"/>
        <v>CHF Swiss Franc</v>
      </c>
      <c r="W44" s="158" t="s">
        <v>1302</v>
      </c>
      <c r="X44" s="159">
        <v>157</v>
      </c>
      <c r="Y44" s="159">
        <v>100</v>
      </c>
    </row>
    <row r="45" spans="1:25">
      <c r="A45" s="2">
        <v>35</v>
      </c>
      <c r="B45" s="19" t="s">
        <v>189</v>
      </c>
      <c r="C45" s="4" t="s">
        <v>8</v>
      </c>
      <c r="F45" s="8"/>
      <c r="G45" s="1"/>
      <c r="H45" s="8"/>
      <c r="J45" s="11"/>
      <c r="K45" s="7"/>
      <c r="L45" t="str">
        <f t="shared" si="4"/>
        <v>TCEXX000 Mats / Isolation</v>
      </c>
      <c r="M45" s="1" t="s">
        <v>403</v>
      </c>
      <c r="N45" s="92" t="s">
        <v>512</v>
      </c>
      <c r="O45" s="1" t="s">
        <v>404</v>
      </c>
      <c r="P45" s="3">
        <v>36</v>
      </c>
      <c r="R45" s="69" t="s">
        <v>689</v>
      </c>
      <c r="S45" s="69" t="s">
        <v>690</v>
      </c>
      <c r="T45" s="69" t="s">
        <v>691</v>
      </c>
      <c r="U45" t="str">
        <f t="shared" si="3"/>
        <v>CLP Chilean Peso</v>
      </c>
      <c r="W45" s="154" t="s">
        <v>1303</v>
      </c>
      <c r="X45" s="155">
        <v>30</v>
      </c>
      <c r="Y45" s="155">
        <v>0</v>
      </c>
    </row>
    <row r="46" spans="1:25">
      <c r="A46" s="2">
        <v>36</v>
      </c>
      <c r="B46" s="11" t="s">
        <v>190</v>
      </c>
      <c r="C46" s="11" t="s">
        <v>29</v>
      </c>
      <c r="F46" s="4"/>
      <c r="G46" s="8"/>
      <c r="H46" s="8"/>
      <c r="I46" s="1"/>
      <c r="J46" s="7"/>
      <c r="K46" s="8"/>
      <c r="L46" t="str">
        <f t="shared" si="4"/>
        <v>TCIAC000 Lubricants</v>
      </c>
      <c r="M46" s="1" t="s">
        <v>405</v>
      </c>
      <c r="N46" s="92" t="s">
        <v>497</v>
      </c>
      <c r="O46" s="1" t="s">
        <v>406</v>
      </c>
      <c r="P46" s="3">
        <v>37</v>
      </c>
      <c r="R46" s="69" t="s">
        <v>692</v>
      </c>
      <c r="S46" s="69" t="s">
        <v>693</v>
      </c>
      <c r="T46" s="69" t="s">
        <v>694</v>
      </c>
      <c r="U46" t="str">
        <f t="shared" si="3"/>
        <v>COP Colombian Peso</v>
      </c>
      <c r="W46" s="156" t="s">
        <v>1304</v>
      </c>
      <c r="X46" s="157">
        <v>69</v>
      </c>
      <c r="Y46" s="157">
        <v>1</v>
      </c>
    </row>
    <row r="47" spans="1:25">
      <c r="A47" s="2">
        <v>37</v>
      </c>
      <c r="B47" s="11" t="s">
        <v>191</v>
      </c>
      <c r="C47" s="11" t="s">
        <v>28</v>
      </c>
      <c r="G47" s="4"/>
      <c r="H47" s="4"/>
      <c r="I47" s="13"/>
      <c r="J47" s="8"/>
      <c r="K47" s="4"/>
      <c r="L47" t="str">
        <f t="shared" si="4"/>
        <v>TCIAC005 Glue, Serial</v>
      </c>
      <c r="M47" s="1" t="s">
        <v>1189</v>
      </c>
      <c r="N47" s="1" t="s">
        <v>1190</v>
      </c>
      <c r="O47" s="1" t="s">
        <v>1191</v>
      </c>
      <c r="P47" s="3">
        <v>38</v>
      </c>
      <c r="R47" s="69" t="s">
        <v>695</v>
      </c>
      <c r="S47" s="69" t="s">
        <v>696</v>
      </c>
      <c r="T47" s="69" t="s">
        <v>697</v>
      </c>
      <c r="U47" t="str">
        <f t="shared" si="3"/>
        <v>CRC Costa Rica Colon</v>
      </c>
      <c r="W47" s="156" t="s">
        <v>1305</v>
      </c>
      <c r="X47" s="157">
        <v>147</v>
      </c>
      <c r="Y47" s="157">
        <v>1</v>
      </c>
    </row>
    <row r="48" spans="1:25">
      <c r="A48" s="2">
        <v>38</v>
      </c>
      <c r="B48" s="6" t="s">
        <v>192</v>
      </c>
      <c r="C48" s="6" t="s">
        <v>178</v>
      </c>
      <c r="E48" t="s">
        <v>1451</v>
      </c>
      <c r="J48" s="4"/>
      <c r="L48" t="str">
        <f t="shared" si="4"/>
        <v>TCIAS000 Surface Treatment Material</v>
      </c>
      <c r="M48" s="1" t="s">
        <v>407</v>
      </c>
      <c r="N48" s="1" t="s">
        <v>1192</v>
      </c>
      <c r="O48" s="1" t="s">
        <v>408</v>
      </c>
      <c r="P48" s="3">
        <v>39</v>
      </c>
      <c r="R48" s="69" t="s">
        <v>698</v>
      </c>
      <c r="S48" s="69" t="s">
        <v>699</v>
      </c>
      <c r="T48" s="69" t="s">
        <v>700</v>
      </c>
      <c r="U48" t="str">
        <f t="shared" si="3"/>
        <v>CUP Cuban Peso</v>
      </c>
      <c r="W48" s="154" t="s">
        <v>1306</v>
      </c>
      <c r="X48" s="155">
        <v>29</v>
      </c>
      <c r="Y48" s="155">
        <v>0</v>
      </c>
    </row>
    <row r="49" spans="1:25" ht="12.75" customHeight="1">
      <c r="A49" s="2">
        <v>39</v>
      </c>
      <c r="B49" s="1" t="s">
        <v>193</v>
      </c>
      <c r="C49" s="6" t="s">
        <v>9</v>
      </c>
      <c r="E49" s="1" t="str">
        <f>$B$3</f>
        <v>Please select!</v>
      </c>
      <c r="L49" t="str">
        <f t="shared" si="4"/>
        <v>TCIAW000 Welding/Soldering Consumables</v>
      </c>
      <c r="M49" s="1" t="s">
        <v>409</v>
      </c>
      <c r="N49" s="92" t="s">
        <v>499</v>
      </c>
      <c r="O49" s="1" t="s">
        <v>410</v>
      </c>
      <c r="P49" s="3">
        <v>40</v>
      </c>
      <c r="R49" s="69" t="s">
        <v>701</v>
      </c>
      <c r="S49" s="69" t="s">
        <v>702</v>
      </c>
      <c r="T49" s="69" t="s">
        <v>703</v>
      </c>
      <c r="U49" t="str">
        <f t="shared" si="3"/>
        <v>CVE Cape Verde Escudo</v>
      </c>
      <c r="W49" s="158" t="s">
        <v>1307</v>
      </c>
      <c r="X49" s="159">
        <v>91</v>
      </c>
      <c r="Y49" s="159">
        <v>100</v>
      </c>
    </row>
    <row r="50" spans="1:25" ht="12.75" customHeight="1">
      <c r="A50" s="2">
        <v>40</v>
      </c>
      <c r="B50" s="1" t="s">
        <v>26</v>
      </c>
      <c r="C50" s="6" t="s">
        <v>26</v>
      </c>
      <c r="E50" s="1" t="str">
        <f>HLOOKUP(Language,Translation,248)</f>
        <v>Coverage amounts min. acc. BS.PU.002.An.01 / BST_PR_AD026</v>
      </c>
      <c r="L50" t="str">
        <f t="shared" si="4"/>
        <v>TCILO004 Logistic Services</v>
      </c>
      <c r="M50" s="1" t="s">
        <v>411</v>
      </c>
      <c r="N50" s="92" t="s">
        <v>1193</v>
      </c>
      <c r="O50" s="1" t="s">
        <v>1194</v>
      </c>
      <c r="P50" s="3">
        <v>41</v>
      </c>
      <c r="R50" s="69" t="s">
        <v>704</v>
      </c>
      <c r="S50" s="69" t="s">
        <v>705</v>
      </c>
      <c r="T50" s="69" t="s">
        <v>706</v>
      </c>
      <c r="U50" t="str">
        <f t="shared" si="3"/>
        <v>CYP Cyprus Pound</v>
      </c>
      <c r="W50" s="156" t="s">
        <v>1308</v>
      </c>
      <c r="X50" s="157">
        <v>72</v>
      </c>
      <c r="Y50" s="157">
        <v>1</v>
      </c>
    </row>
    <row r="51" spans="1:25">
      <c r="A51" s="2">
        <v>41</v>
      </c>
      <c r="B51" s="1" t="s">
        <v>27</v>
      </c>
      <c r="C51" s="6" t="s">
        <v>27</v>
      </c>
      <c r="E51" s="1" t="str">
        <f>HLOOKUP(Language,Translation,274)</f>
        <v>Coverage amounts min. acc. BS.PU.002.An.01 / BST_PR_AD026 exklusive US/CAN</v>
      </c>
      <c r="F51" s="1"/>
      <c r="L51" t="str">
        <f t="shared" si="4"/>
        <v>TCILP000 Packaging Units</v>
      </c>
      <c r="M51" s="1" t="s">
        <v>412</v>
      </c>
      <c r="N51" s="92" t="s">
        <v>500</v>
      </c>
      <c r="O51" s="1" t="s">
        <v>413</v>
      </c>
      <c r="P51" s="3">
        <v>42</v>
      </c>
      <c r="R51" s="69" t="s">
        <v>707</v>
      </c>
      <c r="S51" s="69" t="s">
        <v>708</v>
      </c>
      <c r="T51" s="69" t="s">
        <v>709</v>
      </c>
      <c r="U51" t="str">
        <f t="shared" si="3"/>
        <v>CZK Czech Krona</v>
      </c>
      <c r="W51" s="154" t="s">
        <v>1309</v>
      </c>
      <c r="X51" s="155">
        <v>25</v>
      </c>
      <c r="Y51" s="155">
        <v>0</v>
      </c>
    </row>
    <row r="52" spans="1:25">
      <c r="A52" s="2">
        <v>42</v>
      </c>
      <c r="B52" s="4" t="s">
        <v>174</v>
      </c>
      <c r="C52" s="4" t="s">
        <v>111</v>
      </c>
      <c r="E52" s="1" t="str">
        <f>HLOOKUP(Language,Translation,217)</f>
        <v>Coverage amounts not sufficient, supplier join the BENTELER - Insurance Supplier Pool/ -Service Provider Pool</v>
      </c>
      <c r="F52" s="14"/>
      <c r="G52" s="5"/>
      <c r="H52" s="1"/>
      <c r="I52" s="1"/>
      <c r="K52" s="1"/>
      <c r="L52" t="str">
        <f t="shared" si="4"/>
        <v>TCILT000 Transport</v>
      </c>
      <c r="M52" s="1" t="s">
        <v>414</v>
      </c>
      <c r="N52" s="92" t="s">
        <v>501</v>
      </c>
      <c r="O52" s="1" t="s">
        <v>415</v>
      </c>
      <c r="P52" s="3">
        <v>43</v>
      </c>
      <c r="R52" s="69" t="s">
        <v>710</v>
      </c>
      <c r="S52" s="69" t="s">
        <v>711</v>
      </c>
      <c r="T52" s="69" t="s">
        <v>712</v>
      </c>
      <c r="U52" t="str">
        <f t="shared" si="3"/>
        <v>DJF Djibouti Franc</v>
      </c>
      <c r="W52" s="156" t="s">
        <v>1310</v>
      </c>
      <c r="X52" s="157">
        <v>126</v>
      </c>
      <c r="Y52" s="157">
        <v>1</v>
      </c>
    </row>
    <row r="53" spans="1:25" ht="12.75" customHeight="1">
      <c r="A53" s="2">
        <v>43</v>
      </c>
      <c r="B53" s="4" t="s">
        <v>194</v>
      </c>
      <c r="C53" s="4" t="s">
        <v>89</v>
      </c>
      <c r="E53" s="1" t="str">
        <f>HLOOKUP(Language,Translation,275)</f>
        <v>Coverage amounts not sufficient</v>
      </c>
      <c r="G53" s="15"/>
      <c r="H53" s="14"/>
      <c r="I53" s="16"/>
      <c r="J53" s="1"/>
      <c r="K53" s="1"/>
      <c r="L53" t="str">
        <f t="shared" si="4"/>
        <v>TCISC000 Laboratories &amp; Testings</v>
      </c>
      <c r="M53" s="1" t="s">
        <v>1195</v>
      </c>
      <c r="N53" s="92" t="s">
        <v>1196</v>
      </c>
      <c r="O53" s="1" t="s">
        <v>1197</v>
      </c>
      <c r="P53" s="3">
        <v>44</v>
      </c>
      <c r="R53" s="69" t="s">
        <v>713</v>
      </c>
      <c r="S53" s="69" t="s">
        <v>714</v>
      </c>
      <c r="T53" s="69" t="s">
        <v>715</v>
      </c>
      <c r="U53" t="str">
        <f t="shared" si="3"/>
        <v>DKK Danish Krone</v>
      </c>
      <c r="W53" s="156" t="s">
        <v>1311</v>
      </c>
      <c r="X53" s="157">
        <v>110</v>
      </c>
      <c r="Y53" s="157">
        <v>1</v>
      </c>
    </row>
    <row r="54" spans="1:25">
      <c r="A54" s="2">
        <v>44</v>
      </c>
      <c r="B54" s="16" t="s">
        <v>295</v>
      </c>
      <c r="C54" s="1" t="s">
        <v>90</v>
      </c>
      <c r="E54" t="str">
        <f>HLOOKUP(Language,Translation,295)</f>
        <v>The supplier will have an estimated annual turnover &lt; 50,000 EUR in current and upcoming calendar year</v>
      </c>
      <c r="J54" s="1"/>
      <c r="L54" t="str">
        <f t="shared" si="4"/>
        <v>TCISH000 HR Services</v>
      </c>
      <c r="M54" s="1" t="s">
        <v>416</v>
      </c>
      <c r="N54" s="92" t="s">
        <v>502</v>
      </c>
      <c r="O54" s="1" t="s">
        <v>417</v>
      </c>
      <c r="P54" s="3">
        <v>45</v>
      </c>
      <c r="R54" s="69" t="s">
        <v>716</v>
      </c>
      <c r="S54" s="69" t="s">
        <v>717</v>
      </c>
      <c r="T54" s="69" t="s">
        <v>718</v>
      </c>
      <c r="U54" t="str">
        <f t="shared" si="3"/>
        <v>DOP Dominican Peso</v>
      </c>
      <c r="W54" s="154" t="s">
        <v>1312</v>
      </c>
      <c r="X54" s="155">
        <v>35</v>
      </c>
      <c r="Y54" s="155">
        <v>0</v>
      </c>
    </row>
    <row r="55" spans="1:25">
      <c r="A55" s="2">
        <v>45</v>
      </c>
      <c r="B55" s="6" t="s">
        <v>290</v>
      </c>
      <c r="C55" s="6" t="s">
        <v>70</v>
      </c>
      <c r="E55" t="str">
        <f>HLOOKUP(Language,Translation,296)</f>
        <v>No insurance required acc. to BS.PU.002.An.01 / BST_PR_AD026</v>
      </c>
      <c r="L55" t="str">
        <f t="shared" si="4"/>
        <v>TCMDI000 Stamping Dies,Inhouse Tooling (Benteler)</v>
      </c>
      <c r="M55" s="1" t="s">
        <v>418</v>
      </c>
      <c r="N55" s="1" t="s">
        <v>503</v>
      </c>
      <c r="O55" s="1" t="s">
        <v>419</v>
      </c>
      <c r="P55" s="3">
        <v>46</v>
      </c>
      <c r="R55" s="69" t="s">
        <v>719</v>
      </c>
      <c r="S55" s="69" t="s">
        <v>720</v>
      </c>
      <c r="T55" s="69" t="s">
        <v>721</v>
      </c>
      <c r="U55" t="str">
        <f t="shared" si="3"/>
        <v>DZD Algerian Dinar</v>
      </c>
      <c r="W55" s="156" t="s">
        <v>1313</v>
      </c>
      <c r="X55" s="157">
        <v>72</v>
      </c>
      <c r="Y55" s="157">
        <v>1</v>
      </c>
    </row>
    <row r="56" spans="1:25">
      <c r="A56" s="2">
        <v>46</v>
      </c>
      <c r="B56" s="6" t="s">
        <v>325</v>
      </c>
      <c r="C56" s="6" t="s">
        <v>71</v>
      </c>
      <c r="L56" t="str">
        <f t="shared" si="4"/>
        <v>TCMFF000 Connecting Elements</v>
      </c>
      <c r="M56" s="1" t="s">
        <v>420</v>
      </c>
      <c r="N56" s="92" t="s">
        <v>467</v>
      </c>
      <c r="O56" s="1" t="s">
        <v>421</v>
      </c>
      <c r="P56" s="3">
        <v>47</v>
      </c>
      <c r="R56" s="69" t="s">
        <v>722</v>
      </c>
      <c r="S56" s="69" t="s">
        <v>723</v>
      </c>
      <c r="T56" s="69" t="s">
        <v>724</v>
      </c>
      <c r="U56" t="str">
        <f t="shared" si="3"/>
        <v>ECS Ecuadorian Sucre</v>
      </c>
      <c r="W56" s="156" t="s">
        <v>1314</v>
      </c>
      <c r="X56" s="157">
        <v>77</v>
      </c>
      <c r="Y56" s="157">
        <v>1</v>
      </c>
    </row>
    <row r="57" spans="1:25" ht="12.75" customHeight="1">
      <c r="A57" s="2">
        <v>47</v>
      </c>
      <c r="B57" s="6" t="s">
        <v>195</v>
      </c>
      <c r="C57" s="6" t="s">
        <v>179</v>
      </c>
      <c r="L57" t="str">
        <f t="shared" si="4"/>
        <v>TCMFS000 Sintered parts</v>
      </c>
      <c r="M57" s="1" t="s">
        <v>422</v>
      </c>
      <c r="N57" s="92" t="s">
        <v>504</v>
      </c>
      <c r="O57" s="1" t="s">
        <v>423</v>
      </c>
      <c r="P57" s="3">
        <v>48</v>
      </c>
      <c r="R57" s="69" t="s">
        <v>725</v>
      </c>
      <c r="S57" s="69" t="s">
        <v>726</v>
      </c>
      <c r="T57" s="69" t="s">
        <v>727</v>
      </c>
      <c r="U57" t="str">
        <f t="shared" si="3"/>
        <v>EEK Estonian Krone</v>
      </c>
      <c r="W57" s="158" t="s">
        <v>1315</v>
      </c>
      <c r="X57" s="159">
        <v>171</v>
      </c>
      <c r="Y57" s="159">
        <v>100</v>
      </c>
    </row>
    <row r="58" spans="1:25">
      <c r="A58" s="2">
        <v>48</v>
      </c>
      <c r="B58" s="14" t="s">
        <v>1229</v>
      </c>
      <c r="C58" s="6" t="s">
        <v>91</v>
      </c>
      <c r="E58" s="1" t="s">
        <v>1581</v>
      </c>
      <c r="L58" t="str">
        <f>M58&amp;" "&amp;HLOOKUP(Language,TCname,P58)</f>
        <v>TCMP0000 Press Parts</v>
      </c>
      <c r="M58" s="1" t="s">
        <v>424</v>
      </c>
      <c r="N58" s="1" t="s">
        <v>468</v>
      </c>
      <c r="O58" s="1" t="s">
        <v>425</v>
      </c>
      <c r="P58" s="3">
        <v>49</v>
      </c>
      <c r="R58" s="69" t="s">
        <v>728</v>
      </c>
      <c r="S58" s="69" t="s">
        <v>729</v>
      </c>
      <c r="T58" s="69" t="s">
        <v>730</v>
      </c>
      <c r="U58" t="str">
        <f t="shared" si="3"/>
        <v>EGP Egyptian Pound</v>
      </c>
      <c r="W58" s="154" t="s">
        <v>1316</v>
      </c>
      <c r="X58" s="155">
        <v>35</v>
      </c>
      <c r="Y58" s="155">
        <v>0</v>
      </c>
    </row>
    <row r="59" spans="1:25">
      <c r="A59" s="2">
        <v>49</v>
      </c>
      <c r="B59" s="14" t="s">
        <v>1228</v>
      </c>
      <c r="C59" s="6" t="s">
        <v>1230</v>
      </c>
      <c r="E59" s="1" t="str">
        <f>$B$3</f>
        <v>Please select!</v>
      </c>
      <c r="L59" t="str">
        <f t="shared" si="4"/>
        <v>TCMP0002 Press Parts, Assy</v>
      </c>
      <c r="M59" s="1" t="s">
        <v>426</v>
      </c>
      <c r="N59" s="1" t="s">
        <v>513</v>
      </c>
      <c r="O59" s="1" t="s">
        <v>427</v>
      </c>
      <c r="P59" s="3">
        <v>50</v>
      </c>
      <c r="R59" s="69" t="s">
        <v>731</v>
      </c>
      <c r="S59" s="69" t="s">
        <v>732</v>
      </c>
      <c r="T59" s="69" t="s">
        <v>733</v>
      </c>
      <c r="U59" t="str">
        <f t="shared" si="3"/>
        <v>ERN Eritrean Nafka</v>
      </c>
      <c r="W59" s="156" t="s">
        <v>1317</v>
      </c>
      <c r="X59" s="157">
        <v>150</v>
      </c>
      <c r="Y59" s="157">
        <v>1</v>
      </c>
    </row>
    <row r="60" spans="1:25" ht="12.75" customHeight="1">
      <c r="A60" s="2">
        <v>50</v>
      </c>
      <c r="B60" s="14" t="s">
        <v>196</v>
      </c>
      <c r="C60" s="6" t="s">
        <v>92</v>
      </c>
      <c r="E60" s="1" t="s">
        <v>1582</v>
      </c>
      <c r="L60" t="str">
        <f t="shared" si="4"/>
        <v>TCMP0003 Press Parts, Fine Blank</v>
      </c>
      <c r="M60" s="1" t="s">
        <v>428</v>
      </c>
      <c r="N60" s="1" t="s">
        <v>514</v>
      </c>
      <c r="O60" s="1" t="s">
        <v>429</v>
      </c>
      <c r="P60" s="3">
        <v>51</v>
      </c>
      <c r="R60" s="69" t="s">
        <v>734</v>
      </c>
      <c r="S60" s="69" t="s">
        <v>735</v>
      </c>
      <c r="T60" s="69" t="s">
        <v>736</v>
      </c>
      <c r="U60" t="str">
        <f t="shared" si="3"/>
        <v>ESP Spanish Peseta</v>
      </c>
      <c r="W60" s="156" t="s">
        <v>1318</v>
      </c>
      <c r="X60" s="157">
        <v>142</v>
      </c>
      <c r="Y60" s="157">
        <v>1</v>
      </c>
    </row>
    <row r="61" spans="1:25" ht="12.75" customHeight="1">
      <c r="A61" s="2">
        <v>51</v>
      </c>
      <c r="B61" s="14" t="s">
        <v>93</v>
      </c>
      <c r="C61" s="1" t="s">
        <v>93</v>
      </c>
      <c r="E61" s="1" t="s">
        <v>1583</v>
      </c>
      <c r="L61" t="str">
        <f t="shared" si="4"/>
        <v>TCMP0004 Press Parts, Deep Drawn</v>
      </c>
      <c r="M61" s="1" t="s">
        <v>430</v>
      </c>
      <c r="N61" s="1" t="s">
        <v>515</v>
      </c>
      <c r="O61" s="1" t="s">
        <v>431</v>
      </c>
      <c r="P61" s="3">
        <v>52</v>
      </c>
      <c r="R61" s="69" t="s">
        <v>737</v>
      </c>
      <c r="S61" s="69" t="s">
        <v>738</v>
      </c>
      <c r="T61" s="69" t="s">
        <v>739</v>
      </c>
      <c r="U61" t="str">
        <f t="shared" si="3"/>
        <v>ETB Ethiopian Birr</v>
      </c>
      <c r="W61" s="154" t="s">
        <v>1319</v>
      </c>
      <c r="X61" s="155">
        <v>14</v>
      </c>
      <c r="Y61" s="155">
        <v>0</v>
      </c>
    </row>
    <row r="62" spans="1:25">
      <c r="A62" s="2">
        <v>52</v>
      </c>
      <c r="B62" s="14" t="s">
        <v>197</v>
      </c>
      <c r="C62" s="15" t="s">
        <v>198</v>
      </c>
      <c r="E62" s="1" t="s">
        <v>1703</v>
      </c>
      <c r="L62" t="str">
        <f t="shared" si="4"/>
        <v>TCMP0005 Rolled Tubular Parts</v>
      </c>
      <c r="M62" s="1" t="s">
        <v>432</v>
      </c>
      <c r="N62" s="1" t="s">
        <v>516</v>
      </c>
      <c r="O62" s="1" t="s">
        <v>433</v>
      </c>
      <c r="P62" s="3">
        <v>53</v>
      </c>
      <c r="R62" s="69" t="s">
        <v>740</v>
      </c>
      <c r="S62" s="69" t="s">
        <v>741</v>
      </c>
      <c r="T62" s="69" t="s">
        <v>742</v>
      </c>
      <c r="U62" t="str">
        <f t="shared" si="3"/>
        <v>FIM Finnish markka</v>
      </c>
      <c r="W62" s="158" t="s">
        <v>1320</v>
      </c>
      <c r="X62" s="159">
        <v>150</v>
      </c>
      <c r="Y62" s="159">
        <v>100</v>
      </c>
    </row>
    <row r="63" spans="1:25">
      <c r="A63" s="2">
        <v>53</v>
      </c>
      <c r="B63" s="14" t="s">
        <v>199</v>
      </c>
      <c r="C63" s="1" t="s">
        <v>94</v>
      </c>
      <c r="L63" t="str">
        <f t="shared" si="4"/>
        <v>TCMT0000 Tubes / Profiles</v>
      </c>
      <c r="M63" s="1" t="s">
        <v>434</v>
      </c>
      <c r="N63" s="92" t="s">
        <v>469</v>
      </c>
      <c r="O63" s="1" t="s">
        <v>435</v>
      </c>
      <c r="P63" s="3">
        <v>54</v>
      </c>
      <c r="R63" s="69" t="s">
        <v>743</v>
      </c>
      <c r="S63" s="69" t="s">
        <v>744</v>
      </c>
      <c r="T63" s="69" t="s">
        <v>745</v>
      </c>
      <c r="U63" t="str">
        <f t="shared" si="3"/>
        <v>FJD Fiji Dollar</v>
      </c>
      <c r="W63" s="156" t="s">
        <v>1321</v>
      </c>
      <c r="X63" s="157">
        <v>167</v>
      </c>
      <c r="Y63" s="157">
        <v>1</v>
      </c>
    </row>
    <row r="64" spans="1:25">
      <c r="A64" s="2">
        <v>54</v>
      </c>
      <c r="B64" s="14" t="s">
        <v>114</v>
      </c>
      <c r="C64" s="1" t="s">
        <v>75</v>
      </c>
      <c r="L64" t="str">
        <f t="shared" ref="L64:L74" si="5">M64&amp;" "&amp;HLOOKUP(Language,TCname,P64)</f>
        <v>TCMT0001 Tubes / Profiles, Added Value</v>
      </c>
      <c r="M64" s="1" t="s">
        <v>1467</v>
      </c>
      <c r="N64" s="111" t="s">
        <v>1468</v>
      </c>
      <c r="O64" s="1" t="s">
        <v>1469</v>
      </c>
      <c r="P64" s="3">
        <v>55</v>
      </c>
      <c r="R64" s="69" t="s">
        <v>746</v>
      </c>
      <c r="S64" s="69" t="s">
        <v>747</v>
      </c>
      <c r="T64" s="69" t="s">
        <v>748</v>
      </c>
      <c r="U64" t="str">
        <f t="shared" si="3"/>
        <v>FKP Falkland Pound</v>
      </c>
      <c r="W64" s="154" t="s">
        <v>1322</v>
      </c>
      <c r="X64" s="155">
        <v>27</v>
      </c>
      <c r="Y64" s="155">
        <v>0</v>
      </c>
    </row>
    <row r="65" spans="1:25">
      <c r="A65" s="2">
        <v>55</v>
      </c>
      <c r="B65" s="14" t="s">
        <v>291</v>
      </c>
      <c r="C65" s="1" t="s">
        <v>15</v>
      </c>
      <c r="E65" s="1" t="s">
        <v>1714</v>
      </c>
      <c r="L65" t="str">
        <f t="shared" si="5"/>
        <v>TCMTT000 Blooms</v>
      </c>
      <c r="M65" s="1" t="s">
        <v>436</v>
      </c>
      <c r="N65" s="92" t="s">
        <v>505</v>
      </c>
      <c r="O65" s="1" t="s">
        <v>437</v>
      </c>
      <c r="P65" s="3">
        <v>56</v>
      </c>
      <c r="R65" s="69" t="s">
        <v>749</v>
      </c>
      <c r="S65" s="69" t="s">
        <v>750</v>
      </c>
      <c r="T65" s="69" t="s">
        <v>751</v>
      </c>
      <c r="U65" t="str">
        <f t="shared" si="3"/>
        <v>FRF French Franc</v>
      </c>
      <c r="W65" s="156" t="s">
        <v>1323</v>
      </c>
      <c r="X65" s="157">
        <v>91</v>
      </c>
      <c r="Y65" s="157">
        <v>1</v>
      </c>
    </row>
    <row r="66" spans="1:25">
      <c r="A66" s="2">
        <v>56</v>
      </c>
      <c r="B66" s="14" t="s">
        <v>200</v>
      </c>
      <c r="C66" s="1" t="s">
        <v>10</v>
      </c>
      <c r="E66" t="str">
        <f>$B$3</f>
        <v>Please select!</v>
      </c>
      <c r="L66" t="str">
        <f t="shared" si="5"/>
        <v>TCRA0000 Aluminium</v>
      </c>
      <c r="M66" s="1" t="s">
        <v>438</v>
      </c>
      <c r="N66" s="92" t="s">
        <v>439</v>
      </c>
      <c r="O66" s="1" t="s">
        <v>439</v>
      </c>
      <c r="P66" s="3">
        <v>57</v>
      </c>
      <c r="R66" s="69" t="s">
        <v>752</v>
      </c>
      <c r="S66" s="69" t="s">
        <v>753</v>
      </c>
      <c r="T66" s="69" t="s">
        <v>754</v>
      </c>
      <c r="U66" t="str">
        <f t="shared" si="3"/>
        <v>GBP British Pound</v>
      </c>
      <c r="W66" s="156" t="s">
        <v>1324</v>
      </c>
      <c r="X66" s="157">
        <v>167</v>
      </c>
      <c r="Y66" s="157">
        <v>1</v>
      </c>
    </row>
    <row r="67" spans="1:25">
      <c r="A67" s="2">
        <v>57</v>
      </c>
      <c r="B67" s="14" t="s">
        <v>201</v>
      </c>
      <c r="C67" t="s">
        <v>113</v>
      </c>
      <c r="E67" s="1" t="s">
        <v>1715</v>
      </c>
      <c r="L67" t="str">
        <f t="shared" si="5"/>
        <v>TCRB0000 Tailor Blanks</v>
      </c>
      <c r="M67" s="1" t="s">
        <v>440</v>
      </c>
      <c r="N67" s="92" t="s">
        <v>470</v>
      </c>
      <c r="O67" s="1" t="s">
        <v>441</v>
      </c>
      <c r="P67" s="3">
        <v>58</v>
      </c>
      <c r="R67" s="69" t="s">
        <v>755</v>
      </c>
      <c r="S67" s="69" t="s">
        <v>756</v>
      </c>
      <c r="T67" s="69" t="s">
        <v>757</v>
      </c>
      <c r="U67" t="str">
        <f t="shared" si="3"/>
        <v>GEL Georgian Lari</v>
      </c>
      <c r="W67" s="156" t="s">
        <v>1325</v>
      </c>
      <c r="X67" s="157">
        <v>164</v>
      </c>
      <c r="Y67" s="157">
        <v>1</v>
      </c>
    </row>
    <row r="68" spans="1:25">
      <c r="A68" s="2">
        <v>58</v>
      </c>
      <c r="B68" s="14" t="s">
        <v>202</v>
      </c>
      <c r="C68" s="1" t="s">
        <v>128</v>
      </c>
      <c r="E68" s="4" t="s">
        <v>1716</v>
      </c>
      <c r="L68" t="str">
        <f t="shared" si="5"/>
        <v>TCRGW000 Car Windows</v>
      </c>
      <c r="M68" s="1" t="s">
        <v>442</v>
      </c>
      <c r="N68" s="92" t="s">
        <v>506</v>
      </c>
      <c r="O68" s="1" t="s">
        <v>443</v>
      </c>
      <c r="P68" s="3">
        <v>59</v>
      </c>
      <c r="R68" s="69" t="s">
        <v>758</v>
      </c>
      <c r="S68" s="69" t="s">
        <v>759</v>
      </c>
      <c r="T68" s="69" t="s">
        <v>760</v>
      </c>
      <c r="U68" t="str">
        <f t="shared" si="3"/>
        <v>GHC Ghanian Cedi</v>
      </c>
      <c r="W68" s="154" t="s">
        <v>1326</v>
      </c>
      <c r="X68" s="155">
        <v>48</v>
      </c>
      <c r="Y68" s="155">
        <v>0</v>
      </c>
    </row>
    <row r="69" spans="1:25">
      <c r="A69" s="2">
        <v>59</v>
      </c>
      <c r="B69" s="14" t="s">
        <v>203</v>
      </c>
      <c r="C69" s="1" t="s">
        <v>11</v>
      </c>
      <c r="E69" s="14" t="s">
        <v>1717</v>
      </c>
      <c r="L69" t="str">
        <f t="shared" si="5"/>
        <v>TCRM0000 Magnesium</v>
      </c>
      <c r="M69" s="1" t="s">
        <v>444</v>
      </c>
      <c r="N69" s="92" t="s">
        <v>445</v>
      </c>
      <c r="O69" s="1" t="s">
        <v>445</v>
      </c>
      <c r="P69" s="3">
        <v>60</v>
      </c>
      <c r="R69" s="69" t="s">
        <v>761</v>
      </c>
      <c r="S69" s="69" t="s">
        <v>762</v>
      </c>
      <c r="T69" s="69" t="s">
        <v>763</v>
      </c>
      <c r="U69" t="str">
        <f t="shared" si="3"/>
        <v>GIP Gibraltar Pound</v>
      </c>
      <c r="W69" s="156" t="s">
        <v>1327</v>
      </c>
      <c r="X69" s="157">
        <v>99</v>
      </c>
      <c r="Y69" s="157">
        <v>1</v>
      </c>
    </row>
    <row r="70" spans="1:25">
      <c r="A70" s="2">
        <v>60</v>
      </c>
      <c r="B70" s="14" t="s">
        <v>204</v>
      </c>
      <c r="C70" s="1" t="s">
        <v>1471</v>
      </c>
      <c r="E70" s="14" t="s">
        <v>1718</v>
      </c>
      <c r="L70" t="str">
        <f t="shared" si="5"/>
        <v>TCRSF000 Steel</v>
      </c>
      <c r="M70" s="1" t="s">
        <v>446</v>
      </c>
      <c r="N70" s="92" t="s">
        <v>471</v>
      </c>
      <c r="O70" s="1" t="s">
        <v>447</v>
      </c>
      <c r="P70" s="3">
        <v>61</v>
      </c>
      <c r="R70" s="69" t="s">
        <v>764</v>
      </c>
      <c r="S70" s="69" t="s">
        <v>765</v>
      </c>
      <c r="T70" s="69" t="s">
        <v>766</v>
      </c>
      <c r="U70" t="str">
        <f t="shared" si="3"/>
        <v>GMD Gambian Dalasi</v>
      </c>
      <c r="W70" s="156" t="s">
        <v>1328</v>
      </c>
      <c r="X70" s="157">
        <v>57</v>
      </c>
      <c r="Y70" s="157">
        <v>1</v>
      </c>
    </row>
    <row r="71" spans="1:25">
      <c r="A71" s="2">
        <v>61</v>
      </c>
      <c r="B71" s="14" t="s">
        <v>1179</v>
      </c>
      <c r="C71" s="1" t="s">
        <v>1180</v>
      </c>
      <c r="E71" s="1" t="s">
        <v>1719</v>
      </c>
      <c r="L71" t="str">
        <f t="shared" si="5"/>
        <v>TCRSLC00 Billets / Slabs</v>
      </c>
      <c r="M71" s="1" t="s">
        <v>448</v>
      </c>
      <c r="N71" s="92" t="s">
        <v>517</v>
      </c>
      <c r="O71" s="1" t="s">
        <v>449</v>
      </c>
      <c r="P71" s="3">
        <v>62</v>
      </c>
      <c r="R71" s="69" t="s">
        <v>767</v>
      </c>
      <c r="S71" s="69" t="s">
        <v>768</v>
      </c>
      <c r="T71" s="69" t="s">
        <v>769</v>
      </c>
      <c r="U71" t="str">
        <f t="shared" si="3"/>
        <v>GNF Guinean Franc</v>
      </c>
      <c r="W71" s="156" t="s">
        <v>1329</v>
      </c>
      <c r="X71" s="157">
        <v>65</v>
      </c>
      <c r="Y71" s="157">
        <v>1</v>
      </c>
    </row>
    <row r="72" spans="1:25">
      <c r="A72" s="2">
        <v>62</v>
      </c>
      <c r="B72" s="14" t="s">
        <v>1177</v>
      </c>
      <c r="C72" s="1" t="s">
        <v>1178</v>
      </c>
      <c r="E72" s="1" t="s">
        <v>1720</v>
      </c>
      <c r="L72" t="str">
        <f t="shared" si="5"/>
        <v>TCSAC000 Coal</v>
      </c>
      <c r="M72" s="1" t="s">
        <v>450</v>
      </c>
      <c r="N72" s="92" t="s">
        <v>507</v>
      </c>
      <c r="O72" s="1" t="s">
        <v>451</v>
      </c>
      <c r="P72" s="3">
        <v>63</v>
      </c>
      <c r="R72" s="69" t="s">
        <v>770</v>
      </c>
      <c r="S72" s="69" t="s">
        <v>771</v>
      </c>
      <c r="T72" s="69" t="s">
        <v>772</v>
      </c>
      <c r="U72" t="str">
        <f t="shared" si="3"/>
        <v>GRD Greek Drachma</v>
      </c>
      <c r="W72" s="156" t="s">
        <v>1330</v>
      </c>
      <c r="X72" s="157">
        <v>51</v>
      </c>
      <c r="Y72" s="157">
        <v>1</v>
      </c>
    </row>
    <row r="73" spans="1:25">
      <c r="A73" s="2">
        <v>63</v>
      </c>
      <c r="B73" s="14" t="s">
        <v>1526</v>
      </c>
      <c r="C73" s="1" t="s">
        <v>1527</v>
      </c>
      <c r="L73" t="str">
        <f t="shared" si="5"/>
        <v>TCSAX000 Lime</v>
      </c>
      <c r="M73" s="1" t="s">
        <v>452</v>
      </c>
      <c r="N73" s="92" t="s">
        <v>508</v>
      </c>
      <c r="O73" s="1" t="s">
        <v>453</v>
      </c>
      <c r="P73" s="3">
        <v>64</v>
      </c>
      <c r="R73" s="69" t="s">
        <v>773</v>
      </c>
      <c r="S73" s="69" t="s">
        <v>774</v>
      </c>
      <c r="T73" s="69" t="s">
        <v>775</v>
      </c>
      <c r="U73" t="str">
        <f t="shared" si="3"/>
        <v>GTQ Guatemalan Quetzal</v>
      </c>
      <c r="W73" s="158" t="s">
        <v>1331</v>
      </c>
      <c r="X73" s="159">
        <v>166</v>
      </c>
      <c r="Y73" s="159">
        <v>100</v>
      </c>
    </row>
    <row r="74" spans="1:25">
      <c r="A74" s="2">
        <v>64</v>
      </c>
      <c r="B74" s="14" t="s">
        <v>232</v>
      </c>
      <c r="C74" t="s">
        <v>112</v>
      </c>
      <c r="L74" t="str">
        <f t="shared" si="5"/>
        <v>TCSC0000 Primary Material</v>
      </c>
      <c r="M74" s="1" t="s">
        <v>454</v>
      </c>
      <c r="N74" s="92" t="s">
        <v>518</v>
      </c>
      <c r="O74" s="1" t="s">
        <v>455</v>
      </c>
      <c r="P74" s="3">
        <v>65</v>
      </c>
      <c r="R74" s="69" t="s">
        <v>776</v>
      </c>
      <c r="S74" s="69" t="s">
        <v>777</v>
      </c>
      <c r="T74" s="69" t="s">
        <v>778</v>
      </c>
      <c r="U74" t="str">
        <f t="shared" ref="U74:U105" si="6">CONCATENATE(R74&amp;" "&amp;IF(Language=$B$11,S74,T74))</f>
        <v>GWP Guinea Peso</v>
      </c>
      <c r="W74" s="154" t="s">
        <v>1273</v>
      </c>
      <c r="X74" s="155">
        <v>1</v>
      </c>
      <c r="Y74" s="155">
        <v>0</v>
      </c>
    </row>
    <row r="75" spans="1:25">
      <c r="A75" s="2">
        <v>65</v>
      </c>
      <c r="B75" s="14" t="s">
        <v>1167</v>
      </c>
      <c r="C75" s="1" t="s">
        <v>1166</v>
      </c>
      <c r="E75" s="4"/>
      <c r="L75" t="str">
        <f>M74&amp;" "&amp;HLOOKUP(Language,TCname,P75)</f>
        <v>TCSC0000 Technical Gases</v>
      </c>
      <c r="M75" s="1" t="s">
        <v>456</v>
      </c>
      <c r="N75" s="92" t="s">
        <v>465</v>
      </c>
      <c r="O75" s="1" t="s">
        <v>457</v>
      </c>
      <c r="P75" s="3">
        <v>66</v>
      </c>
      <c r="R75" s="69" t="s">
        <v>779</v>
      </c>
      <c r="S75" s="69" t="s">
        <v>780</v>
      </c>
      <c r="T75" s="69" t="s">
        <v>781</v>
      </c>
      <c r="U75" t="str">
        <f t="shared" si="6"/>
        <v>GYD Guyana Dollar</v>
      </c>
      <c r="W75" s="156" t="s">
        <v>1332</v>
      </c>
      <c r="X75" s="157">
        <v>130</v>
      </c>
      <c r="Y75" s="157">
        <v>1</v>
      </c>
    </row>
    <row r="76" spans="1:25">
      <c r="A76" s="2">
        <v>66</v>
      </c>
      <c r="B76" s="14" t="s">
        <v>205</v>
      </c>
      <c r="C76" s="1" t="s">
        <v>129</v>
      </c>
      <c r="E76" s="13"/>
      <c r="L76" t="str">
        <f>M76&amp;" "&amp;HLOOKUP(Language,TCname,P76)</f>
        <v>TCSSA000 Scrap Puchasing</v>
      </c>
      <c r="M76" s="1" t="s">
        <v>458</v>
      </c>
      <c r="N76" s="92" t="s">
        <v>509</v>
      </c>
      <c r="O76" s="1" t="s">
        <v>459</v>
      </c>
      <c r="P76" s="3">
        <v>67</v>
      </c>
      <c r="R76" s="69" t="s">
        <v>782</v>
      </c>
      <c r="S76" s="69" t="s">
        <v>783</v>
      </c>
      <c r="T76" s="69" t="s">
        <v>783</v>
      </c>
      <c r="U76" t="str">
        <f t="shared" si="6"/>
        <v>HKD Hong Kong Dollar</v>
      </c>
      <c r="W76" s="154" t="s">
        <v>1333</v>
      </c>
      <c r="X76" s="155">
        <v>45</v>
      </c>
      <c r="Y76" s="155">
        <v>0</v>
      </c>
    </row>
    <row r="77" spans="1:25">
      <c r="A77" s="2">
        <v>67</v>
      </c>
      <c r="B77" s="14" t="s">
        <v>206</v>
      </c>
      <c r="C77" t="s">
        <v>14</v>
      </c>
      <c r="E77" s="14"/>
      <c r="L77" t="str">
        <f>M77&amp;" "&amp;HLOOKUP(Language,TCname,P77)</f>
        <v>TCT00000 Tooling</v>
      </c>
      <c r="M77" s="1" t="s">
        <v>460</v>
      </c>
      <c r="N77" s="92" t="s">
        <v>466</v>
      </c>
      <c r="O77" s="1" t="s">
        <v>461</v>
      </c>
      <c r="P77" s="3">
        <v>68</v>
      </c>
      <c r="R77" s="69" t="s">
        <v>784</v>
      </c>
      <c r="S77" s="69" t="s">
        <v>785</v>
      </c>
      <c r="T77" s="69" t="s">
        <v>786</v>
      </c>
      <c r="U77" t="str">
        <f t="shared" si="6"/>
        <v>HNL Honduran Lempira</v>
      </c>
      <c r="W77" s="156" t="s">
        <v>1334</v>
      </c>
      <c r="X77" s="157">
        <v>123</v>
      </c>
      <c r="Y77" s="157">
        <v>1</v>
      </c>
    </row>
    <row r="78" spans="1:25">
      <c r="A78" s="2">
        <v>68</v>
      </c>
      <c r="B78" s="14" t="s">
        <v>116</v>
      </c>
      <c r="C78" t="s">
        <v>116</v>
      </c>
      <c r="E78" s="14"/>
      <c r="F78" s="4"/>
      <c r="R78" s="69" t="s">
        <v>787</v>
      </c>
      <c r="S78" s="69" t="s">
        <v>788</v>
      </c>
      <c r="T78" s="69" t="s">
        <v>789</v>
      </c>
      <c r="U78" t="str">
        <f t="shared" si="6"/>
        <v>HRK Croatian kuna</v>
      </c>
      <c r="W78" s="156" t="s">
        <v>1335</v>
      </c>
      <c r="X78" s="157">
        <v>101</v>
      </c>
      <c r="Y78" s="157">
        <v>1</v>
      </c>
    </row>
    <row r="79" spans="1:25">
      <c r="A79" s="2">
        <v>69</v>
      </c>
      <c r="B79" s="4" t="s">
        <v>234</v>
      </c>
      <c r="C79" s="1" t="s">
        <v>115</v>
      </c>
      <c r="E79" s="14"/>
      <c r="F79" s="14"/>
      <c r="G79" s="1"/>
      <c r="H79" s="1"/>
      <c r="K79" s="4"/>
      <c r="R79" s="69" t="s">
        <v>790</v>
      </c>
      <c r="S79" s="69" t="s">
        <v>791</v>
      </c>
      <c r="T79" s="69" t="s">
        <v>792</v>
      </c>
      <c r="U79" t="str">
        <f t="shared" si="6"/>
        <v>HTG Haitian Gourde</v>
      </c>
      <c r="W79" s="158" t="s">
        <v>1336</v>
      </c>
      <c r="X79" s="159">
        <v>130</v>
      </c>
      <c r="Y79" s="159">
        <v>100</v>
      </c>
    </row>
    <row r="80" spans="1:25">
      <c r="A80" s="2">
        <v>70</v>
      </c>
      <c r="B80" s="14" t="s">
        <v>1200</v>
      </c>
      <c r="C80" s="4" t="s">
        <v>1201</v>
      </c>
      <c r="F80" s="14"/>
      <c r="G80" s="10"/>
      <c r="H80" s="10"/>
      <c r="J80" s="4"/>
      <c r="K80" s="5"/>
      <c r="R80" s="69" t="s">
        <v>793</v>
      </c>
      <c r="S80" s="69" t="s">
        <v>794</v>
      </c>
      <c r="T80" s="69" t="s">
        <v>795</v>
      </c>
      <c r="U80" t="str">
        <f t="shared" si="6"/>
        <v>HUF Hungarian Forint</v>
      </c>
      <c r="W80" s="156" t="s">
        <v>1337</v>
      </c>
      <c r="X80" s="157">
        <v>116</v>
      </c>
      <c r="Y80" s="157">
        <v>1</v>
      </c>
    </row>
    <row r="81" spans="1:25">
      <c r="A81" s="2">
        <v>71</v>
      </c>
      <c r="B81" s="14" t="s">
        <v>207</v>
      </c>
      <c r="C81" s="5" t="s">
        <v>16</v>
      </c>
      <c r="F81" s="1"/>
      <c r="G81" s="10"/>
      <c r="H81" s="14"/>
      <c r="J81" s="5"/>
      <c r="K81" s="5"/>
      <c r="L81" s="10"/>
      <c r="M81" s="10"/>
      <c r="R81" s="69" t="s">
        <v>796</v>
      </c>
      <c r="S81" s="69" t="s">
        <v>797</v>
      </c>
      <c r="T81" s="69" t="s">
        <v>798</v>
      </c>
      <c r="U81" t="str">
        <f t="shared" si="6"/>
        <v>IDR Indonesian Rupiah</v>
      </c>
      <c r="W81" s="156" t="s">
        <v>1338</v>
      </c>
      <c r="X81" s="157">
        <v>171</v>
      </c>
      <c r="Y81" s="157">
        <v>1</v>
      </c>
    </row>
    <row r="82" spans="1:25">
      <c r="A82" s="2">
        <v>72</v>
      </c>
      <c r="B82" s="14" t="s">
        <v>233</v>
      </c>
      <c r="C82" s="5" t="s">
        <v>18</v>
      </c>
      <c r="F82" s="1"/>
      <c r="G82" s="1"/>
      <c r="H82" s="1"/>
      <c r="J82" s="5"/>
      <c r="K82" s="1"/>
      <c r="L82" s="10"/>
      <c r="M82" s="5"/>
      <c r="R82" s="69" t="s">
        <v>799</v>
      </c>
      <c r="S82" s="69" t="s">
        <v>800</v>
      </c>
      <c r="T82" s="69" t="s">
        <v>801</v>
      </c>
      <c r="U82" t="str">
        <f t="shared" si="6"/>
        <v>IEP Irish Punt</v>
      </c>
      <c r="W82" s="156" t="s">
        <v>1339</v>
      </c>
      <c r="X82" s="157">
        <v>162</v>
      </c>
      <c r="Y82" s="157">
        <v>1</v>
      </c>
    </row>
    <row r="83" spans="1:25">
      <c r="A83" s="2">
        <v>73</v>
      </c>
      <c r="B83" s="14" t="s">
        <v>292</v>
      </c>
      <c r="C83" t="s">
        <v>19</v>
      </c>
      <c r="G83" s="1"/>
      <c r="H83" s="1"/>
      <c r="J83" s="1"/>
      <c r="K83" s="17"/>
      <c r="L83" s="1"/>
      <c r="M83" s="1"/>
      <c r="R83" s="69" t="s">
        <v>802</v>
      </c>
      <c r="S83" s="69" t="s">
        <v>803</v>
      </c>
      <c r="T83" s="69" t="s">
        <v>804</v>
      </c>
      <c r="U83" t="str">
        <f t="shared" si="6"/>
        <v>ILS Israeli Scheckel</v>
      </c>
      <c r="W83" s="154" t="s">
        <v>1340</v>
      </c>
      <c r="X83" s="155">
        <v>14</v>
      </c>
      <c r="Y83" s="155">
        <v>0</v>
      </c>
    </row>
    <row r="84" spans="1:25">
      <c r="A84" s="2">
        <v>74</v>
      </c>
      <c r="B84" s="14" t="s">
        <v>1235</v>
      </c>
      <c r="C84" t="s">
        <v>17</v>
      </c>
      <c r="J84" s="17"/>
      <c r="R84" s="69" t="s">
        <v>805</v>
      </c>
      <c r="S84" s="69" t="s">
        <v>806</v>
      </c>
      <c r="T84" s="69" t="s">
        <v>806</v>
      </c>
      <c r="U84" t="str">
        <f t="shared" si="6"/>
        <v>INR Indian Rupee</v>
      </c>
      <c r="W84" s="156" t="s">
        <v>1341</v>
      </c>
      <c r="X84" s="157">
        <v>130</v>
      </c>
      <c r="Y84" s="157">
        <v>1</v>
      </c>
    </row>
    <row r="85" spans="1:25">
      <c r="A85" s="2">
        <v>75</v>
      </c>
      <c r="B85" s="14" t="s">
        <v>208</v>
      </c>
      <c r="C85" t="s">
        <v>208</v>
      </c>
      <c r="R85" s="69" t="s">
        <v>807</v>
      </c>
      <c r="S85" s="69" t="s">
        <v>808</v>
      </c>
      <c r="T85" s="69" t="s">
        <v>809</v>
      </c>
      <c r="U85" t="str">
        <f t="shared" si="6"/>
        <v>IQD Iraqui Dinar</v>
      </c>
      <c r="W85" s="156" t="s">
        <v>1342</v>
      </c>
      <c r="X85" s="157">
        <v>94</v>
      </c>
      <c r="Y85" s="157">
        <v>1</v>
      </c>
    </row>
    <row r="86" spans="1:25">
      <c r="A86" s="2">
        <v>76</v>
      </c>
      <c r="B86" s="14" t="s">
        <v>209</v>
      </c>
      <c r="C86" t="s">
        <v>117</v>
      </c>
      <c r="F86" s="4"/>
      <c r="R86" s="69" t="s">
        <v>810</v>
      </c>
      <c r="S86" s="69" t="s">
        <v>811</v>
      </c>
      <c r="T86" s="69" t="s">
        <v>812</v>
      </c>
      <c r="U86" t="str">
        <f t="shared" si="6"/>
        <v>IRR Iranian Rial</v>
      </c>
      <c r="W86" s="154" t="s">
        <v>1730</v>
      </c>
      <c r="X86" s="155">
        <v>49</v>
      </c>
      <c r="Y86" s="155">
        <v>0</v>
      </c>
    </row>
    <row r="87" spans="1:25">
      <c r="A87" s="2">
        <v>77</v>
      </c>
      <c r="B87" s="4" t="s">
        <v>118</v>
      </c>
      <c r="C87" s="4" t="s">
        <v>118</v>
      </c>
      <c r="F87" s="13"/>
      <c r="G87" s="10"/>
      <c r="H87" s="18"/>
      <c r="K87" s="4"/>
      <c r="R87" s="69" t="s">
        <v>813</v>
      </c>
      <c r="S87" s="69" t="s">
        <v>814</v>
      </c>
      <c r="T87" s="69" t="s">
        <v>815</v>
      </c>
      <c r="U87" t="str">
        <f t="shared" si="6"/>
        <v>ISK Iceland Krona</v>
      </c>
      <c r="W87" s="156" t="s">
        <v>1343</v>
      </c>
      <c r="X87" s="157">
        <v>136</v>
      </c>
      <c r="Y87" s="157">
        <v>1</v>
      </c>
    </row>
    <row r="88" spans="1:25">
      <c r="A88" s="2">
        <v>78</v>
      </c>
      <c r="B88" s="13" t="s">
        <v>1531</v>
      </c>
      <c r="C88" s="13" t="s">
        <v>1532</v>
      </c>
      <c r="F88" s="14"/>
      <c r="G88" s="13"/>
      <c r="H88" s="18"/>
      <c r="J88" s="4"/>
      <c r="K88" s="13"/>
      <c r="L88" s="10"/>
      <c r="M88" s="10"/>
      <c r="R88" s="69" t="s">
        <v>816</v>
      </c>
      <c r="S88" s="69" t="s">
        <v>817</v>
      </c>
      <c r="T88" s="69" t="s">
        <v>818</v>
      </c>
      <c r="U88" t="str">
        <f t="shared" si="6"/>
        <v>ITL Italian Lira</v>
      </c>
      <c r="W88" s="156" t="s">
        <v>1344</v>
      </c>
      <c r="X88" s="157">
        <v>110</v>
      </c>
      <c r="Y88" s="157">
        <v>1</v>
      </c>
    </row>
    <row r="89" spans="1:25">
      <c r="A89" s="2">
        <v>79</v>
      </c>
      <c r="B89" s="14" t="s">
        <v>1211</v>
      </c>
      <c r="C89" s="4" t="s">
        <v>1210</v>
      </c>
      <c r="F89" s="14"/>
      <c r="J89" s="13"/>
      <c r="K89" s="1"/>
      <c r="L89" s="13"/>
      <c r="M89" s="10"/>
      <c r="R89" s="69" t="s">
        <v>819</v>
      </c>
      <c r="S89" s="69" t="s">
        <v>820</v>
      </c>
      <c r="T89" s="69" t="s">
        <v>821</v>
      </c>
      <c r="U89" t="str">
        <f t="shared" si="6"/>
        <v>JMD Jamaican Dollar</v>
      </c>
      <c r="W89" s="154" t="s">
        <v>1345</v>
      </c>
      <c r="X89" s="155">
        <v>41</v>
      </c>
      <c r="Y89" s="155">
        <v>0</v>
      </c>
    </row>
    <row r="90" spans="1:25">
      <c r="A90" s="2">
        <v>80</v>
      </c>
      <c r="B90" s="14" t="s">
        <v>1238</v>
      </c>
      <c r="C90" s="1" t="s">
        <v>1239</v>
      </c>
      <c r="F90" s="14"/>
      <c r="J90" s="1"/>
      <c r="R90" s="69" t="s">
        <v>822</v>
      </c>
      <c r="S90" s="69" t="s">
        <v>823</v>
      </c>
      <c r="T90" s="69" t="s">
        <v>824</v>
      </c>
      <c r="U90" t="str">
        <f t="shared" si="6"/>
        <v>JOD Jordanian Dinar</v>
      </c>
      <c r="W90" s="156" t="s">
        <v>1346</v>
      </c>
      <c r="X90" s="157">
        <v>72</v>
      </c>
      <c r="Y90" s="157">
        <v>1</v>
      </c>
    </row>
    <row r="91" spans="1:25">
      <c r="A91" s="2">
        <v>81</v>
      </c>
      <c r="B91" s="14" t="s">
        <v>210</v>
      </c>
      <c r="C91" t="s">
        <v>74</v>
      </c>
      <c r="G91" s="1"/>
      <c r="H91" s="14"/>
      <c r="R91" s="69" t="s">
        <v>825</v>
      </c>
      <c r="S91" s="69" t="s">
        <v>826</v>
      </c>
      <c r="T91" s="69" t="s">
        <v>827</v>
      </c>
      <c r="U91" t="str">
        <f t="shared" si="6"/>
        <v>JPY Japanese Yen</v>
      </c>
      <c r="W91" s="156" t="s">
        <v>1347</v>
      </c>
      <c r="X91" s="157">
        <v>51</v>
      </c>
      <c r="Y91" s="157">
        <v>1</v>
      </c>
    </row>
    <row r="92" spans="1:25">
      <c r="A92" s="2">
        <v>82</v>
      </c>
      <c r="B92" s="1" t="s">
        <v>122</v>
      </c>
      <c r="C92" s="1" t="s">
        <v>122</v>
      </c>
      <c r="D92" s="1"/>
      <c r="R92" s="69" t="s">
        <v>828</v>
      </c>
      <c r="S92" s="69" t="s">
        <v>829</v>
      </c>
      <c r="T92" s="69" t="s">
        <v>830</v>
      </c>
      <c r="U92" t="str">
        <f t="shared" si="6"/>
        <v>KES Kenyan Shilling</v>
      </c>
      <c r="W92" s="156" t="s">
        <v>1348</v>
      </c>
      <c r="X92" s="157">
        <v>51</v>
      </c>
      <c r="Y92" s="157">
        <v>1</v>
      </c>
    </row>
    <row r="93" spans="1:25">
      <c r="A93" s="2">
        <v>83</v>
      </c>
      <c r="B93" s="1" t="s">
        <v>121</v>
      </c>
      <c r="C93" s="1" t="s">
        <v>121</v>
      </c>
      <c r="R93" s="69" t="s">
        <v>831</v>
      </c>
      <c r="S93" s="69" t="s">
        <v>832</v>
      </c>
      <c r="T93" s="69" t="s">
        <v>833</v>
      </c>
      <c r="U93" t="str">
        <f t="shared" si="6"/>
        <v>KGS Kyrgyzstan Som</v>
      </c>
      <c r="W93" s="156" t="s">
        <v>1349</v>
      </c>
      <c r="X93" s="157">
        <v>150</v>
      </c>
      <c r="Y93" s="157">
        <v>1</v>
      </c>
    </row>
    <row r="94" spans="1:25">
      <c r="A94" s="2">
        <v>84</v>
      </c>
      <c r="B94" s="1" t="s">
        <v>296</v>
      </c>
      <c r="C94" s="1" t="s">
        <v>68</v>
      </c>
      <c r="D94" s="1"/>
      <c r="R94" s="69" t="s">
        <v>834</v>
      </c>
      <c r="S94" s="69" t="s">
        <v>835</v>
      </c>
      <c r="T94" s="69" t="s">
        <v>836</v>
      </c>
      <c r="U94" t="str">
        <f t="shared" si="6"/>
        <v>KHR Cambodian Riel</v>
      </c>
      <c r="W94" s="158" t="s">
        <v>1350</v>
      </c>
      <c r="X94" s="159">
        <v>147</v>
      </c>
      <c r="Y94" s="159">
        <v>100</v>
      </c>
    </row>
    <row r="95" spans="1:25">
      <c r="A95" s="2">
        <v>85</v>
      </c>
      <c r="B95" s="1" t="s">
        <v>119</v>
      </c>
      <c r="C95" s="1" t="s">
        <v>119</v>
      </c>
      <c r="D95" s="1"/>
      <c r="R95" s="69" t="s">
        <v>837</v>
      </c>
      <c r="S95" s="69" t="s">
        <v>838</v>
      </c>
      <c r="T95" s="69" t="s">
        <v>839</v>
      </c>
      <c r="U95" t="str">
        <f t="shared" si="6"/>
        <v>KMF Comoros Franc</v>
      </c>
      <c r="W95" s="158" t="s">
        <v>1731</v>
      </c>
      <c r="X95" s="159">
        <v>164</v>
      </c>
      <c r="Y95" s="159">
        <v>100</v>
      </c>
    </row>
    <row r="96" spans="1:25">
      <c r="A96" s="2">
        <v>86</v>
      </c>
      <c r="B96" s="1" t="s">
        <v>1212</v>
      </c>
      <c r="C96" s="1" t="s">
        <v>1213</v>
      </c>
      <c r="D96" s="1"/>
      <c r="E96" s="24"/>
      <c r="R96" s="69" t="s">
        <v>840</v>
      </c>
      <c r="S96" s="69" t="s">
        <v>841</v>
      </c>
      <c r="T96" s="69" t="s">
        <v>842</v>
      </c>
      <c r="U96" t="str">
        <f t="shared" si="6"/>
        <v>KPW North Korean Won</v>
      </c>
      <c r="W96" s="156" t="s">
        <v>1351</v>
      </c>
      <c r="X96" s="157">
        <v>85</v>
      </c>
      <c r="Y96" s="157">
        <v>1</v>
      </c>
    </row>
    <row r="97" spans="1:25">
      <c r="A97" s="2">
        <v>87</v>
      </c>
      <c r="B97" s="1" t="s">
        <v>120</v>
      </c>
      <c r="C97" s="1" t="s">
        <v>120</v>
      </c>
      <c r="D97" s="1"/>
      <c r="E97" s="23"/>
      <c r="R97" s="69" t="s">
        <v>843</v>
      </c>
      <c r="S97" s="69" t="s">
        <v>844</v>
      </c>
      <c r="T97" s="69" t="s">
        <v>845</v>
      </c>
      <c r="U97" t="str">
        <f t="shared" si="6"/>
        <v>KRW South Korean Won</v>
      </c>
      <c r="W97" s="158" t="s">
        <v>1352</v>
      </c>
      <c r="X97" s="159">
        <v>171</v>
      </c>
      <c r="Y97" s="159">
        <v>100</v>
      </c>
    </row>
    <row r="98" spans="1:25">
      <c r="A98" s="2">
        <v>88</v>
      </c>
      <c r="B98" s="14" t="s">
        <v>297</v>
      </c>
      <c r="C98" s="1" t="s">
        <v>130</v>
      </c>
      <c r="E98" s="23"/>
      <c r="R98" s="69" t="s">
        <v>846</v>
      </c>
      <c r="S98" s="69" t="s">
        <v>847</v>
      </c>
      <c r="T98" s="69" t="s">
        <v>848</v>
      </c>
      <c r="U98" t="str">
        <f t="shared" si="6"/>
        <v>KWD Kuwaiti Dinar</v>
      </c>
      <c r="W98" s="156" t="s">
        <v>1353</v>
      </c>
      <c r="X98" s="157">
        <v>157</v>
      </c>
      <c r="Y98" s="157">
        <v>1</v>
      </c>
    </row>
    <row r="99" spans="1:25">
      <c r="A99" s="2">
        <v>89</v>
      </c>
      <c r="B99" t="s">
        <v>211</v>
      </c>
      <c r="C99" s="1" t="s">
        <v>123</v>
      </c>
      <c r="E99" s="23"/>
      <c r="R99" s="69" t="s">
        <v>849</v>
      </c>
      <c r="S99" s="69" t="s">
        <v>850</v>
      </c>
      <c r="T99" s="69" t="s">
        <v>851</v>
      </c>
      <c r="U99" t="str">
        <f t="shared" si="6"/>
        <v>KYD Cayman Dollar</v>
      </c>
      <c r="W99" s="154" t="s">
        <v>1354</v>
      </c>
      <c r="X99" s="155">
        <v>12</v>
      </c>
      <c r="Y99" s="155">
        <v>0</v>
      </c>
    </row>
    <row r="100" spans="1:25">
      <c r="A100" s="2">
        <v>90</v>
      </c>
      <c r="B100" s="14" t="s">
        <v>212</v>
      </c>
      <c r="C100" s="1" t="s">
        <v>20</v>
      </c>
      <c r="E100" s="24"/>
      <c r="R100" s="69" t="s">
        <v>852</v>
      </c>
      <c r="S100" s="69" t="s">
        <v>853</v>
      </c>
      <c r="T100" s="69" t="s">
        <v>854</v>
      </c>
      <c r="U100" t="str">
        <f t="shared" si="6"/>
        <v>KZT Kazakstanian Tenge</v>
      </c>
      <c r="W100" s="154" t="s">
        <v>1355</v>
      </c>
      <c r="X100" s="155">
        <v>14</v>
      </c>
      <c r="Y100" s="155">
        <v>0</v>
      </c>
    </row>
    <row r="101" spans="1:25">
      <c r="A101" s="2">
        <v>91</v>
      </c>
      <c r="B101" s="14" t="s">
        <v>21</v>
      </c>
      <c r="C101" s="1" t="s">
        <v>21</v>
      </c>
      <c r="E101" s="24"/>
      <c r="R101" s="69" t="s">
        <v>855</v>
      </c>
      <c r="S101" s="69" t="s">
        <v>856</v>
      </c>
      <c r="T101" s="69" t="s">
        <v>857</v>
      </c>
      <c r="U101" t="str">
        <f t="shared" si="6"/>
        <v>LAK Laotian Kip</v>
      </c>
      <c r="W101" s="156" t="s">
        <v>1356</v>
      </c>
      <c r="X101" s="157">
        <v>110</v>
      </c>
      <c r="Y101" s="157">
        <v>1</v>
      </c>
    </row>
    <row r="102" spans="1:25">
      <c r="A102" s="2">
        <v>92</v>
      </c>
      <c r="B102" s="14" t="s">
        <v>213</v>
      </c>
      <c r="C102" s="1" t="s">
        <v>31</v>
      </c>
      <c r="E102" s="23"/>
      <c r="R102" s="69" t="s">
        <v>858</v>
      </c>
      <c r="S102" s="69" t="s">
        <v>859</v>
      </c>
      <c r="T102" s="69" t="s">
        <v>860</v>
      </c>
      <c r="U102" t="str">
        <f t="shared" si="6"/>
        <v>LBP Lebanese Pound</v>
      </c>
      <c r="W102" s="158" t="s">
        <v>1357</v>
      </c>
      <c r="X102" s="159">
        <v>147</v>
      </c>
      <c r="Y102" s="159">
        <v>100</v>
      </c>
    </row>
    <row r="103" spans="1:25">
      <c r="A103" s="2">
        <v>93</v>
      </c>
      <c r="B103" s="14" t="s">
        <v>214</v>
      </c>
      <c r="C103" s="1" t="s">
        <v>22</v>
      </c>
      <c r="E103" s="23"/>
      <c r="R103" s="69" t="s">
        <v>861</v>
      </c>
      <c r="S103" s="69" t="s">
        <v>862</v>
      </c>
      <c r="T103" s="69" t="s">
        <v>863</v>
      </c>
      <c r="U103" t="str">
        <f t="shared" si="6"/>
        <v>LKR Sri Lankan Rupee</v>
      </c>
      <c r="W103" s="158" t="s">
        <v>1358</v>
      </c>
      <c r="X103" s="159">
        <v>157</v>
      </c>
      <c r="Y103" s="159">
        <v>100</v>
      </c>
    </row>
    <row r="104" spans="1:25">
      <c r="A104" s="2">
        <v>94</v>
      </c>
      <c r="B104" s="14" t="s">
        <v>1522</v>
      </c>
      <c r="C104" s="1" t="s">
        <v>124</v>
      </c>
      <c r="R104" s="69" t="s">
        <v>864</v>
      </c>
      <c r="S104" s="69" t="s">
        <v>865</v>
      </c>
      <c r="T104" s="69" t="s">
        <v>866</v>
      </c>
      <c r="U104" t="str">
        <f t="shared" si="6"/>
        <v>LRD Liberian Dollar</v>
      </c>
      <c r="W104" s="154" t="s">
        <v>1359</v>
      </c>
      <c r="X104" s="155">
        <v>10</v>
      </c>
      <c r="Y104" s="155">
        <v>0</v>
      </c>
    </row>
    <row r="105" spans="1:25">
      <c r="A105" s="2">
        <v>95</v>
      </c>
      <c r="B105" s="14" t="s">
        <v>235</v>
      </c>
      <c r="C105" s="1" t="s">
        <v>23</v>
      </c>
      <c r="R105" s="69" t="s">
        <v>867</v>
      </c>
      <c r="S105" s="69" t="s">
        <v>868</v>
      </c>
      <c r="T105" s="69" t="s">
        <v>869</v>
      </c>
      <c r="U105" t="str">
        <f t="shared" si="6"/>
        <v>LSL Lesotho Loti</v>
      </c>
      <c r="W105" s="154" t="s">
        <v>1360</v>
      </c>
      <c r="X105" s="155">
        <v>31</v>
      </c>
      <c r="Y105" s="155">
        <v>0</v>
      </c>
    </row>
    <row r="106" spans="1:25">
      <c r="A106" s="2">
        <v>96</v>
      </c>
      <c r="B106" s="14" t="s">
        <v>126</v>
      </c>
      <c r="C106" s="1" t="s">
        <v>125</v>
      </c>
      <c r="R106" s="69" t="s">
        <v>870</v>
      </c>
      <c r="S106" s="69" t="s">
        <v>871</v>
      </c>
      <c r="T106" s="69" t="s">
        <v>872</v>
      </c>
      <c r="U106" t="str">
        <f t="shared" ref="U106:U137" si="7">CONCATENATE(R106&amp;" "&amp;IF(Language=$B$11,S106,T106))</f>
        <v>LTL Lithuanian Lita</v>
      </c>
      <c r="W106" s="154" t="s">
        <v>1361</v>
      </c>
      <c r="X106" s="155">
        <v>41</v>
      </c>
      <c r="Y106" s="155">
        <v>0</v>
      </c>
    </row>
    <row r="107" spans="1:25">
      <c r="A107" s="2">
        <v>97</v>
      </c>
      <c r="B107" s="14" t="s">
        <v>215</v>
      </c>
      <c r="C107" s="1" t="s">
        <v>127</v>
      </c>
      <c r="R107" s="69" t="s">
        <v>873</v>
      </c>
      <c r="S107" s="69" t="s">
        <v>874</v>
      </c>
      <c r="T107" s="69" t="s">
        <v>875</v>
      </c>
      <c r="U107" t="str">
        <f t="shared" si="7"/>
        <v>LUF Luxembourg Franc</v>
      </c>
      <c r="W107" s="156" t="s">
        <v>1362</v>
      </c>
      <c r="X107" s="157">
        <v>69</v>
      </c>
      <c r="Y107" s="157">
        <v>1</v>
      </c>
    </row>
    <row r="108" spans="1:25">
      <c r="A108" s="2">
        <v>98</v>
      </c>
      <c r="B108" s="14" t="s">
        <v>298</v>
      </c>
      <c r="C108" s="15" t="s">
        <v>30</v>
      </c>
      <c r="D108" s="24"/>
      <c r="R108" s="69" t="s">
        <v>876</v>
      </c>
      <c r="S108" s="69" t="s">
        <v>877</v>
      </c>
      <c r="T108" s="69" t="s">
        <v>878</v>
      </c>
      <c r="U108" t="str">
        <f t="shared" si="7"/>
        <v>LVL Latvian Lat</v>
      </c>
      <c r="W108" s="156" t="s">
        <v>1363</v>
      </c>
      <c r="X108" s="157">
        <v>61</v>
      </c>
      <c r="Y108" s="157">
        <v>1</v>
      </c>
    </row>
    <row r="109" spans="1:25">
      <c r="A109" s="2">
        <v>99</v>
      </c>
      <c r="B109" s="14" t="s">
        <v>236</v>
      </c>
      <c r="C109" s="16" t="s">
        <v>24</v>
      </c>
      <c r="D109" s="23"/>
      <c r="R109" s="69" t="s">
        <v>879</v>
      </c>
      <c r="S109" s="69" t="s">
        <v>880</v>
      </c>
      <c r="T109" s="69" t="s">
        <v>881</v>
      </c>
      <c r="U109" t="str">
        <f t="shared" si="7"/>
        <v>LYD Libyan Dinar</v>
      </c>
      <c r="W109" s="156" t="s">
        <v>1364</v>
      </c>
      <c r="X109" s="157">
        <v>101</v>
      </c>
      <c r="Y109" s="157">
        <v>1</v>
      </c>
    </row>
    <row r="110" spans="1:25">
      <c r="A110" s="2">
        <v>100</v>
      </c>
      <c r="B110" s="14" t="s">
        <v>237</v>
      </c>
      <c r="C110" s="16" t="s">
        <v>72</v>
      </c>
      <c r="D110" s="23"/>
      <c r="R110" s="69" t="s">
        <v>882</v>
      </c>
      <c r="S110" s="69" t="s">
        <v>883</v>
      </c>
      <c r="T110" s="69" t="s">
        <v>884</v>
      </c>
      <c r="U110" t="str">
        <f t="shared" si="7"/>
        <v>MAD Moroccan Dirham</v>
      </c>
      <c r="W110" s="156" t="s">
        <v>1365</v>
      </c>
      <c r="X110" s="157">
        <v>123</v>
      </c>
      <c r="Y110" s="157">
        <v>1</v>
      </c>
    </row>
    <row r="111" spans="1:25">
      <c r="A111" s="2">
        <v>101</v>
      </c>
      <c r="B111" s="14" t="s">
        <v>238</v>
      </c>
      <c r="C111" s="16" t="s">
        <v>73</v>
      </c>
      <c r="D111" s="23"/>
      <c r="R111" s="69" t="s">
        <v>885</v>
      </c>
      <c r="S111" s="69" t="s">
        <v>886</v>
      </c>
      <c r="T111" s="69" t="s">
        <v>887</v>
      </c>
      <c r="U111" t="str">
        <f t="shared" si="7"/>
        <v>MDL Moldavian Leu</v>
      </c>
      <c r="W111" s="156" t="s">
        <v>1366</v>
      </c>
      <c r="X111" s="157">
        <v>84</v>
      </c>
      <c r="Y111" s="157">
        <v>1</v>
      </c>
    </row>
    <row r="112" spans="1:25">
      <c r="A112" s="2">
        <v>102</v>
      </c>
      <c r="B112" s="14" t="s">
        <v>239</v>
      </c>
      <c r="C112" s="15" t="s">
        <v>131</v>
      </c>
      <c r="D112" s="24"/>
      <c r="R112" s="69" t="s">
        <v>888</v>
      </c>
      <c r="S112" s="69" t="s">
        <v>889</v>
      </c>
      <c r="T112" s="69" t="s">
        <v>890</v>
      </c>
      <c r="U112" t="str">
        <f t="shared" si="7"/>
        <v>MGF Madagascan Franc</v>
      </c>
      <c r="W112" s="156" t="s">
        <v>1367</v>
      </c>
      <c r="X112" s="157">
        <v>77</v>
      </c>
      <c r="Y112" s="157">
        <v>1</v>
      </c>
    </row>
    <row r="113" spans="1:25">
      <c r="A113" s="2">
        <v>103</v>
      </c>
      <c r="B113" s="14" t="s">
        <v>240</v>
      </c>
      <c r="C113" s="15" t="s">
        <v>132</v>
      </c>
      <c r="D113" s="24"/>
      <c r="R113" s="69" t="s">
        <v>891</v>
      </c>
      <c r="S113" s="69" t="s">
        <v>892</v>
      </c>
      <c r="T113" s="69" t="s">
        <v>893</v>
      </c>
      <c r="U113" t="str">
        <f t="shared" si="7"/>
        <v>MKD Macedonian Denar</v>
      </c>
      <c r="W113" s="156" t="s">
        <v>1368</v>
      </c>
      <c r="X113" s="157">
        <v>140</v>
      </c>
      <c r="Y113" s="157">
        <v>1</v>
      </c>
    </row>
    <row r="114" spans="1:25">
      <c r="A114" s="2">
        <v>104</v>
      </c>
      <c r="B114" s="14" t="s">
        <v>25</v>
      </c>
      <c r="C114" s="16" t="s">
        <v>25</v>
      </c>
      <c r="D114" s="23"/>
      <c r="R114" s="69" t="s">
        <v>894</v>
      </c>
      <c r="S114" s="69" t="s">
        <v>895</v>
      </c>
      <c r="T114" s="69" t="s">
        <v>895</v>
      </c>
      <c r="U114" t="str">
        <f t="shared" si="7"/>
        <v>MMK Myanmar Kyat</v>
      </c>
      <c r="W114" s="156" t="s">
        <v>1369</v>
      </c>
      <c r="X114" s="157">
        <v>126</v>
      </c>
      <c r="Y114" s="157">
        <v>1</v>
      </c>
    </row>
    <row r="115" spans="1:25">
      <c r="A115" s="2">
        <v>105</v>
      </c>
      <c r="B115" s="1" t="s">
        <v>1599</v>
      </c>
      <c r="C115" s="16" t="s">
        <v>1600</v>
      </c>
      <c r="D115" s="23"/>
      <c r="R115" s="69" t="s">
        <v>896</v>
      </c>
      <c r="S115" s="69" t="s">
        <v>897</v>
      </c>
      <c r="T115" s="69" t="s">
        <v>898</v>
      </c>
      <c r="U115" t="str">
        <f t="shared" si="7"/>
        <v>MNT Mongolian Tugrik</v>
      </c>
      <c r="W115" s="154" t="s">
        <v>1370</v>
      </c>
      <c r="X115" s="155">
        <v>39</v>
      </c>
      <c r="Y115" s="155">
        <v>0</v>
      </c>
    </row>
    <row r="116" spans="1:25">
      <c r="A116" s="2">
        <v>106</v>
      </c>
      <c r="B116" t="s">
        <v>218</v>
      </c>
      <c r="C116" s="16" t="s">
        <v>133</v>
      </c>
      <c r="E116" s="47"/>
      <c r="R116" s="69" t="s">
        <v>899</v>
      </c>
      <c r="S116" s="69" t="s">
        <v>900</v>
      </c>
      <c r="T116" s="69" t="s">
        <v>901</v>
      </c>
      <c r="U116" t="str">
        <f t="shared" si="7"/>
        <v>MOP Macao Pataca</v>
      </c>
      <c r="W116" s="158" t="s">
        <v>1371</v>
      </c>
      <c r="X116" s="159">
        <v>150</v>
      </c>
      <c r="Y116" s="159">
        <v>100</v>
      </c>
    </row>
    <row r="117" spans="1:25">
      <c r="A117" s="2">
        <v>107</v>
      </c>
      <c r="B117" t="s">
        <v>219</v>
      </c>
      <c r="C117" s="16" t="s">
        <v>134</v>
      </c>
      <c r="R117" s="69" t="s">
        <v>902</v>
      </c>
      <c r="S117" s="69" t="s">
        <v>903</v>
      </c>
      <c r="T117" s="69" t="s">
        <v>904</v>
      </c>
      <c r="U117" t="str">
        <f t="shared" si="7"/>
        <v>MRO Mauritanian Ouguiya</v>
      </c>
      <c r="W117" s="156" t="s">
        <v>1372</v>
      </c>
      <c r="X117" s="157">
        <v>99</v>
      </c>
      <c r="Y117" s="157">
        <v>1</v>
      </c>
    </row>
    <row r="118" spans="1:25">
      <c r="A118" s="2">
        <v>108</v>
      </c>
      <c r="B118" t="s">
        <v>220</v>
      </c>
      <c r="C118" s="16" t="s">
        <v>135</v>
      </c>
      <c r="E118" s="47"/>
      <c r="R118" s="69" t="s">
        <v>905</v>
      </c>
      <c r="S118" s="69" t="s">
        <v>906</v>
      </c>
      <c r="T118" s="69" t="s">
        <v>907</v>
      </c>
      <c r="U118" t="str">
        <f t="shared" si="7"/>
        <v>MTL Maltese Lira</v>
      </c>
      <c r="W118" s="156" t="s">
        <v>1373</v>
      </c>
      <c r="X118" s="157">
        <v>142</v>
      </c>
      <c r="Y118" s="157">
        <v>1</v>
      </c>
    </row>
    <row r="119" spans="1:25">
      <c r="A119" s="2">
        <v>109</v>
      </c>
      <c r="B119" s="1" t="s">
        <v>1262</v>
      </c>
      <c r="C119" s="1" t="s">
        <v>1263</v>
      </c>
      <c r="E119" s="47"/>
      <c r="R119" s="69" t="s">
        <v>908</v>
      </c>
      <c r="S119" s="69" t="s">
        <v>909</v>
      </c>
      <c r="T119" s="69" t="s">
        <v>910</v>
      </c>
      <c r="U119" t="str">
        <f t="shared" si="7"/>
        <v>MUR Mauritian Rupee</v>
      </c>
      <c r="W119" s="158" t="s">
        <v>1374</v>
      </c>
      <c r="X119" s="159">
        <v>171</v>
      </c>
      <c r="Y119" s="159">
        <v>100</v>
      </c>
    </row>
    <row r="120" spans="1:25">
      <c r="A120" s="2">
        <v>110</v>
      </c>
      <c r="B120" s="1" t="s">
        <v>1261</v>
      </c>
      <c r="C120" s="1" t="s">
        <v>1260</v>
      </c>
      <c r="E120" s="47"/>
      <c r="R120" s="69" t="s">
        <v>911</v>
      </c>
      <c r="S120" s="69" t="s">
        <v>912</v>
      </c>
      <c r="T120" s="69" t="s">
        <v>913</v>
      </c>
      <c r="U120" t="str">
        <f t="shared" si="7"/>
        <v>MVR Maldive Rufiyaa</v>
      </c>
      <c r="W120" s="154" t="s">
        <v>1375</v>
      </c>
      <c r="X120" s="155">
        <v>33</v>
      </c>
      <c r="Y120" s="155">
        <v>0</v>
      </c>
    </row>
    <row r="121" spans="1:25">
      <c r="A121" s="2">
        <v>111</v>
      </c>
      <c r="B121" t="s">
        <v>221</v>
      </c>
      <c r="C121" t="s">
        <v>136</v>
      </c>
      <c r="R121" s="69" t="s">
        <v>914</v>
      </c>
      <c r="S121" s="69" t="s">
        <v>915</v>
      </c>
      <c r="T121" s="69" t="s">
        <v>916</v>
      </c>
      <c r="U121" t="str">
        <f t="shared" si="7"/>
        <v>MWK Malawi Kwacha</v>
      </c>
      <c r="W121" s="154" t="s">
        <v>1376</v>
      </c>
      <c r="X121" s="155">
        <v>10</v>
      </c>
      <c r="Y121" s="155">
        <v>0</v>
      </c>
    </row>
    <row r="122" spans="1:25">
      <c r="A122" s="2">
        <v>112</v>
      </c>
      <c r="B122" s="1" t="s">
        <v>1214</v>
      </c>
      <c r="C122" s="1" t="s">
        <v>1215</v>
      </c>
      <c r="E122" s="47"/>
      <c r="R122" s="69" t="s">
        <v>917</v>
      </c>
      <c r="S122" s="69" t="s">
        <v>918</v>
      </c>
      <c r="T122" s="69" t="s">
        <v>919</v>
      </c>
      <c r="U122" t="str">
        <f t="shared" si="7"/>
        <v>MXN Mexican Pesos</v>
      </c>
      <c r="W122" s="156" t="s">
        <v>1377</v>
      </c>
      <c r="X122" s="157">
        <v>142</v>
      </c>
      <c r="Y122" s="157">
        <v>1</v>
      </c>
    </row>
    <row r="123" spans="1:25">
      <c r="A123" s="2">
        <v>113</v>
      </c>
      <c r="B123" s="1" t="s">
        <v>326</v>
      </c>
      <c r="C123" t="s">
        <v>137</v>
      </c>
      <c r="R123" s="69" t="s">
        <v>920</v>
      </c>
      <c r="S123" s="69" t="s">
        <v>921</v>
      </c>
      <c r="T123" s="69" t="s">
        <v>922</v>
      </c>
      <c r="U123" t="str">
        <f t="shared" si="7"/>
        <v>MYR Malaysian Ringgit</v>
      </c>
      <c r="W123" s="156" t="s">
        <v>1378</v>
      </c>
      <c r="X123" s="157">
        <v>110</v>
      </c>
      <c r="Y123" s="157">
        <v>1</v>
      </c>
    </row>
    <row r="124" spans="1:25">
      <c r="A124" s="2">
        <v>114</v>
      </c>
      <c r="B124" s="1" t="s">
        <v>1244</v>
      </c>
      <c r="C124" t="s">
        <v>163</v>
      </c>
      <c r="E124" s="47"/>
      <c r="R124" s="69" t="s">
        <v>923</v>
      </c>
      <c r="S124" s="69" t="s">
        <v>924</v>
      </c>
      <c r="T124" s="69" t="s">
        <v>925</v>
      </c>
      <c r="U124" t="str">
        <f t="shared" si="7"/>
        <v>MZM Mozambique Metical</v>
      </c>
      <c r="W124" s="156" t="s">
        <v>1379</v>
      </c>
      <c r="X124" s="157">
        <v>61</v>
      </c>
      <c r="Y124" s="157">
        <v>1</v>
      </c>
    </row>
    <row r="125" spans="1:25">
      <c r="A125" s="2">
        <v>115</v>
      </c>
      <c r="B125" s="1" t="s">
        <v>1245</v>
      </c>
      <c r="C125" t="s">
        <v>1248</v>
      </c>
      <c r="E125" s="47"/>
      <c r="R125" s="69" t="s">
        <v>926</v>
      </c>
      <c r="S125" s="69" t="s">
        <v>927</v>
      </c>
      <c r="T125" s="69" t="s">
        <v>928</v>
      </c>
      <c r="U125" t="str">
        <f t="shared" si="7"/>
        <v>NAD Namibian Dollar</v>
      </c>
      <c r="W125" s="156" t="s">
        <v>1380</v>
      </c>
      <c r="X125" s="157">
        <v>85</v>
      </c>
      <c r="Y125" s="157">
        <v>1</v>
      </c>
    </row>
    <row r="126" spans="1:25">
      <c r="A126" s="2">
        <v>116</v>
      </c>
      <c r="B126" s="1" t="s">
        <v>1246</v>
      </c>
      <c r="C126" t="s">
        <v>1249</v>
      </c>
      <c r="E126" s="47"/>
      <c r="R126" s="69" t="s">
        <v>929</v>
      </c>
      <c r="S126" s="69" t="s">
        <v>930</v>
      </c>
      <c r="T126" s="69" t="s">
        <v>931</v>
      </c>
      <c r="U126" t="str">
        <f t="shared" si="7"/>
        <v>NGN Nigerian Naira</v>
      </c>
      <c r="W126" s="158" t="s">
        <v>1381</v>
      </c>
      <c r="X126" s="159">
        <v>137</v>
      </c>
      <c r="Y126" s="159">
        <v>100</v>
      </c>
    </row>
    <row r="127" spans="1:25">
      <c r="A127" s="2">
        <v>117</v>
      </c>
      <c r="B127" t="s">
        <v>222</v>
      </c>
      <c r="C127" s="1" t="s">
        <v>57</v>
      </c>
      <c r="R127" s="69" t="s">
        <v>932</v>
      </c>
      <c r="S127" s="69" t="s">
        <v>933</v>
      </c>
      <c r="T127" s="69" t="s">
        <v>934</v>
      </c>
      <c r="U127" t="str">
        <f t="shared" si="7"/>
        <v>NIO Nicaraguan Cordoba Oro</v>
      </c>
      <c r="W127" s="156" t="s">
        <v>1382</v>
      </c>
      <c r="X127" s="157">
        <v>54</v>
      </c>
      <c r="Y127" s="157">
        <v>1</v>
      </c>
    </row>
    <row r="128" spans="1:25" ht="12.75" customHeight="1">
      <c r="A128" s="2">
        <v>118</v>
      </c>
      <c r="B128" t="s">
        <v>299</v>
      </c>
      <c r="C128" s="15" t="s">
        <v>58</v>
      </c>
      <c r="D128" s="47"/>
      <c r="E128" s="47"/>
      <c r="R128" s="69" t="s">
        <v>935</v>
      </c>
      <c r="S128" s="69" t="s">
        <v>936</v>
      </c>
      <c r="T128" s="69" t="s">
        <v>937</v>
      </c>
      <c r="U128" t="str">
        <f t="shared" si="7"/>
        <v>NLG Dutch Guilder</v>
      </c>
      <c r="W128" s="156" t="s">
        <v>1383</v>
      </c>
      <c r="X128" s="157">
        <v>130</v>
      </c>
      <c r="Y128" s="157">
        <v>1</v>
      </c>
    </row>
    <row r="129" spans="1:25" ht="12.75" customHeight="1">
      <c r="A129" s="2">
        <v>119</v>
      </c>
      <c r="B129" t="s">
        <v>1503</v>
      </c>
      <c r="C129" s="15" t="s">
        <v>1502</v>
      </c>
      <c r="R129" s="69" t="s">
        <v>938</v>
      </c>
      <c r="S129" s="69" t="s">
        <v>939</v>
      </c>
      <c r="T129" s="69" t="s">
        <v>940</v>
      </c>
      <c r="U129" t="str">
        <f t="shared" si="7"/>
        <v>NOK Norwegian Krone</v>
      </c>
      <c r="W129" s="156" t="s">
        <v>1384</v>
      </c>
      <c r="X129" s="157">
        <v>57</v>
      </c>
      <c r="Y129" s="157">
        <v>1</v>
      </c>
    </row>
    <row r="130" spans="1:25" ht="12.75" customHeight="1">
      <c r="A130" s="2">
        <v>120</v>
      </c>
      <c r="B130" t="s">
        <v>223</v>
      </c>
      <c r="C130" s="15" t="s">
        <v>1158</v>
      </c>
      <c r="D130" s="47"/>
      <c r="E130" s="47"/>
      <c r="R130" s="69" t="s">
        <v>941</v>
      </c>
      <c r="S130" s="69" t="s">
        <v>942</v>
      </c>
      <c r="T130" s="69" t="s">
        <v>943</v>
      </c>
      <c r="U130" t="str">
        <f t="shared" si="7"/>
        <v>NPR Nepalese Rupee</v>
      </c>
      <c r="W130" s="158" t="s">
        <v>1385</v>
      </c>
      <c r="X130" s="159">
        <v>91</v>
      </c>
      <c r="Y130" s="159">
        <v>100</v>
      </c>
    </row>
    <row r="131" spans="1:25">
      <c r="A131" s="2">
        <v>121</v>
      </c>
      <c r="B131" t="s">
        <v>224</v>
      </c>
      <c r="C131" s="15" t="s">
        <v>62</v>
      </c>
      <c r="D131" s="47"/>
      <c r="E131" s="47"/>
      <c r="R131" s="69" t="s">
        <v>944</v>
      </c>
      <c r="S131" s="69" t="s">
        <v>945</v>
      </c>
      <c r="T131" s="69" t="s">
        <v>946</v>
      </c>
      <c r="U131" t="str">
        <f t="shared" si="7"/>
        <v>NZD New Zealand Dollars</v>
      </c>
      <c r="W131" s="156" t="s">
        <v>1386</v>
      </c>
      <c r="X131" s="157">
        <v>116</v>
      </c>
      <c r="Y131" s="157">
        <v>1</v>
      </c>
    </row>
    <row r="132" spans="1:25">
      <c r="A132" s="2">
        <v>122</v>
      </c>
      <c r="B132" t="s">
        <v>243</v>
      </c>
      <c r="C132" s="15" t="s">
        <v>59</v>
      </c>
      <c r="D132" s="47"/>
      <c r="E132" s="47"/>
      <c r="R132" s="69" t="s">
        <v>947</v>
      </c>
      <c r="S132" s="69" t="s">
        <v>948</v>
      </c>
      <c r="T132" s="69" t="s">
        <v>949</v>
      </c>
      <c r="U132" t="str">
        <f t="shared" si="7"/>
        <v>OMR Omani Rial</v>
      </c>
      <c r="W132" s="156" t="s">
        <v>1387</v>
      </c>
      <c r="X132" s="157">
        <v>65</v>
      </c>
      <c r="Y132" s="157">
        <v>1</v>
      </c>
    </row>
    <row r="133" spans="1:25">
      <c r="A133" s="2">
        <v>123</v>
      </c>
      <c r="B133" t="s">
        <v>241</v>
      </c>
      <c r="C133" t="s">
        <v>56</v>
      </c>
      <c r="R133" s="69" t="s">
        <v>950</v>
      </c>
      <c r="S133" s="69" t="s">
        <v>951</v>
      </c>
      <c r="T133" s="69" t="s">
        <v>952</v>
      </c>
      <c r="U133" t="str">
        <f t="shared" si="7"/>
        <v>PAB Panamanian Balboa</v>
      </c>
      <c r="W133" s="156" t="s">
        <v>1388</v>
      </c>
      <c r="X133" s="157">
        <v>94</v>
      </c>
      <c r="Y133" s="157">
        <v>1</v>
      </c>
    </row>
    <row r="134" spans="1:25" ht="12.75" customHeight="1">
      <c r="A134" s="2">
        <v>124</v>
      </c>
      <c r="B134" t="s">
        <v>300</v>
      </c>
      <c r="C134" s="15" t="s">
        <v>65</v>
      </c>
      <c r="D134" s="47"/>
      <c r="R134" s="69" t="s">
        <v>953</v>
      </c>
      <c r="S134" s="69" t="s">
        <v>954</v>
      </c>
      <c r="T134" s="69" t="s">
        <v>955</v>
      </c>
      <c r="U134" t="str">
        <f t="shared" si="7"/>
        <v>PEN Peruvian New Sol</v>
      </c>
      <c r="W134" s="156" t="s">
        <v>1389</v>
      </c>
      <c r="X134" s="157">
        <v>142</v>
      </c>
      <c r="Y134" s="157">
        <v>1</v>
      </c>
    </row>
    <row r="135" spans="1:25" ht="12.75" customHeight="1">
      <c r="A135" s="2">
        <v>125</v>
      </c>
      <c r="B135" t="s">
        <v>245</v>
      </c>
      <c r="C135" s="15" t="s">
        <v>61</v>
      </c>
      <c r="R135" s="69" t="s">
        <v>956</v>
      </c>
      <c r="S135" s="69" t="s">
        <v>957</v>
      </c>
      <c r="T135" s="69" t="s">
        <v>958</v>
      </c>
      <c r="U135" t="str">
        <f t="shared" si="7"/>
        <v>PGK Papua New Guinea Kina</v>
      </c>
      <c r="W135" s="158" t="s">
        <v>1390</v>
      </c>
      <c r="X135" s="159">
        <v>157</v>
      </c>
      <c r="Y135" s="159">
        <v>100</v>
      </c>
    </row>
    <row r="136" spans="1:25" ht="12.75" customHeight="1">
      <c r="A136" s="2">
        <v>126</v>
      </c>
      <c r="B136" t="s">
        <v>244</v>
      </c>
      <c r="C136" s="15" t="s">
        <v>60</v>
      </c>
      <c r="D136" s="47"/>
      <c r="R136" s="69" t="s">
        <v>959</v>
      </c>
      <c r="S136" s="69" t="s">
        <v>960</v>
      </c>
      <c r="T136" s="69" t="s">
        <v>961</v>
      </c>
      <c r="U136" t="str">
        <f t="shared" si="7"/>
        <v>PHP Philippine Peso</v>
      </c>
      <c r="W136" s="156" t="s">
        <v>1391</v>
      </c>
      <c r="X136" s="157">
        <v>59</v>
      </c>
      <c r="Y136" s="157">
        <v>1</v>
      </c>
    </row>
    <row r="137" spans="1:25">
      <c r="A137" s="2">
        <v>127</v>
      </c>
      <c r="B137" t="s">
        <v>246</v>
      </c>
      <c r="C137" s="15" t="s">
        <v>67</v>
      </c>
      <c r="D137" s="47"/>
      <c r="R137" s="69" t="s">
        <v>962</v>
      </c>
      <c r="S137" s="69" t="s">
        <v>963</v>
      </c>
      <c r="T137" s="69" t="s">
        <v>964</v>
      </c>
      <c r="U137" t="str">
        <f t="shared" si="7"/>
        <v>PKR Pakistani Rupee</v>
      </c>
      <c r="W137" s="156" t="s">
        <v>1392</v>
      </c>
      <c r="X137" s="157">
        <v>110</v>
      </c>
      <c r="Y137" s="157">
        <v>1</v>
      </c>
    </row>
    <row r="138" spans="1:25">
      <c r="A138" s="2">
        <v>128</v>
      </c>
      <c r="B138" t="s">
        <v>247</v>
      </c>
      <c r="C138" s="15" t="s">
        <v>63</v>
      </c>
      <c r="D138" s="47"/>
      <c r="R138" s="69" t="s">
        <v>965</v>
      </c>
      <c r="S138" s="69" t="s">
        <v>966</v>
      </c>
      <c r="T138" s="69" t="s">
        <v>967</v>
      </c>
      <c r="U138" t="str">
        <f t="shared" ref="U138:U169" si="8">CONCATENATE(R138&amp;" "&amp;IF(Language=$B$11,S138,T138))</f>
        <v>PLN Polish Zloty (new)</v>
      </c>
      <c r="W138" s="154" t="s">
        <v>1393</v>
      </c>
      <c r="X138" s="155">
        <v>8</v>
      </c>
      <c r="Y138" s="155">
        <v>0</v>
      </c>
    </row>
    <row r="139" spans="1:25">
      <c r="A139" s="2">
        <v>129</v>
      </c>
      <c r="B139" t="s">
        <v>242</v>
      </c>
      <c r="C139" t="s">
        <v>55</v>
      </c>
      <c r="R139" s="69" t="s">
        <v>968</v>
      </c>
      <c r="S139" s="69"/>
      <c r="T139" s="69" t="s">
        <v>969</v>
      </c>
      <c r="U139" t="str">
        <f t="shared" si="8"/>
        <v>PLZ Polish Zloty</v>
      </c>
      <c r="W139" s="154" t="s">
        <v>1394</v>
      </c>
      <c r="X139" s="155">
        <v>2</v>
      </c>
      <c r="Y139" s="155">
        <v>0</v>
      </c>
    </row>
    <row r="140" spans="1:25">
      <c r="A140" s="2">
        <v>130</v>
      </c>
      <c r="B140" t="s">
        <v>301</v>
      </c>
      <c r="C140" s="15" t="s">
        <v>64</v>
      </c>
      <c r="D140" s="47"/>
      <c r="E140" s="30"/>
      <c r="R140" s="69" t="s">
        <v>970</v>
      </c>
      <c r="S140" s="69" t="s">
        <v>971</v>
      </c>
      <c r="T140" s="69" t="s">
        <v>972</v>
      </c>
      <c r="U140" t="str">
        <f t="shared" si="8"/>
        <v>PTE Portuguese Escudo</v>
      </c>
      <c r="W140" s="158" t="s">
        <v>1395</v>
      </c>
      <c r="X140" s="159">
        <v>167</v>
      </c>
      <c r="Y140" s="159">
        <v>100</v>
      </c>
    </row>
    <row r="141" spans="1:25" ht="12.75" customHeight="1">
      <c r="A141" s="2">
        <v>131</v>
      </c>
      <c r="B141" s="1" t="s">
        <v>303</v>
      </c>
      <c r="C141" s="15" t="s">
        <v>302</v>
      </c>
      <c r="E141" s="30"/>
      <c r="R141" s="69" t="s">
        <v>973</v>
      </c>
      <c r="S141" s="69" t="s">
        <v>974</v>
      </c>
      <c r="T141" s="69" t="s">
        <v>975</v>
      </c>
      <c r="U141" t="str">
        <f t="shared" si="8"/>
        <v>PYG Paraguayan Guarani</v>
      </c>
      <c r="W141" s="156" t="s">
        <v>1396</v>
      </c>
      <c r="X141" s="157">
        <v>123</v>
      </c>
      <c r="Y141" s="157">
        <v>1</v>
      </c>
    </row>
    <row r="142" spans="1:25" ht="12.75" customHeight="1">
      <c r="A142" s="2">
        <v>132</v>
      </c>
      <c r="B142" t="s">
        <v>248</v>
      </c>
      <c r="C142" s="15" t="s">
        <v>1157</v>
      </c>
      <c r="D142" s="47"/>
      <c r="R142" s="69" t="s">
        <v>976</v>
      </c>
      <c r="S142" s="69" t="s">
        <v>977</v>
      </c>
      <c r="T142" s="69" t="s">
        <v>978</v>
      </c>
      <c r="U142" t="str">
        <f t="shared" si="8"/>
        <v>QAR Qatar Rial</v>
      </c>
      <c r="W142" s="156" t="s">
        <v>1397</v>
      </c>
      <c r="X142" s="157">
        <v>150</v>
      </c>
      <c r="Y142" s="157">
        <v>1</v>
      </c>
    </row>
    <row r="143" spans="1:25">
      <c r="A143" s="2">
        <v>133</v>
      </c>
      <c r="B143" t="s">
        <v>249</v>
      </c>
      <c r="C143" s="15" t="s">
        <v>66</v>
      </c>
      <c r="D143" s="47"/>
      <c r="R143" s="69" t="s">
        <v>979</v>
      </c>
      <c r="S143" s="69" t="s">
        <v>980</v>
      </c>
      <c r="T143" s="69" t="s">
        <v>981</v>
      </c>
      <c r="U143" t="str">
        <f t="shared" si="8"/>
        <v>RMB Chinese Yuan Renminbi</v>
      </c>
      <c r="W143" s="158" t="s">
        <v>1732</v>
      </c>
      <c r="X143" s="159">
        <v>171</v>
      </c>
      <c r="Y143" s="159">
        <v>100</v>
      </c>
    </row>
    <row r="144" spans="1:25" ht="12.75" customHeight="1">
      <c r="A144" s="2">
        <v>134</v>
      </c>
      <c r="B144" t="s">
        <v>250</v>
      </c>
      <c r="C144" s="15" t="s">
        <v>138</v>
      </c>
      <c r="D144" s="47"/>
      <c r="R144" s="69" t="s">
        <v>982</v>
      </c>
      <c r="S144" s="69" t="s">
        <v>983</v>
      </c>
      <c r="T144" s="69" t="s">
        <v>984</v>
      </c>
      <c r="U144" t="str">
        <f t="shared" si="8"/>
        <v>ROL Romanian Leu</v>
      </c>
      <c r="W144" s="156" t="s">
        <v>1398</v>
      </c>
      <c r="X144" s="157">
        <v>85</v>
      </c>
      <c r="Y144" s="157">
        <v>1</v>
      </c>
    </row>
    <row r="145" spans="1:25">
      <c r="A145" s="2">
        <v>135</v>
      </c>
      <c r="B145" s="1" t="s">
        <v>1540</v>
      </c>
      <c r="C145" s="1" t="s">
        <v>1541</v>
      </c>
      <c r="R145" s="69" t="s">
        <v>985</v>
      </c>
      <c r="S145" s="69" t="s">
        <v>983</v>
      </c>
      <c r="T145" s="69" t="s">
        <v>986</v>
      </c>
      <c r="U145" t="str">
        <f t="shared" si="8"/>
        <v>RON Romanian Leu New</v>
      </c>
      <c r="W145" s="156" t="s">
        <v>1399</v>
      </c>
      <c r="X145" s="157">
        <v>69</v>
      </c>
      <c r="Y145" s="157">
        <v>1</v>
      </c>
    </row>
    <row r="146" spans="1:25">
      <c r="A146" s="2">
        <v>136</v>
      </c>
      <c r="B146" t="s">
        <v>251</v>
      </c>
      <c r="C146" t="s">
        <v>147</v>
      </c>
      <c r="R146" s="69" t="s">
        <v>987</v>
      </c>
      <c r="S146" s="69" t="s">
        <v>988</v>
      </c>
      <c r="T146" s="69" t="s">
        <v>989</v>
      </c>
      <c r="U146" t="str">
        <f t="shared" si="8"/>
        <v>RSD Serbian Dinar</v>
      </c>
      <c r="W146" s="156" t="s">
        <v>1400</v>
      </c>
      <c r="X146" s="157">
        <v>140</v>
      </c>
      <c r="Y146" s="157">
        <v>1</v>
      </c>
    </row>
    <row r="147" spans="1:25">
      <c r="A147" s="2">
        <v>137</v>
      </c>
      <c r="B147" s="1" t="s">
        <v>1160</v>
      </c>
      <c r="C147" t="s">
        <v>1159</v>
      </c>
      <c r="R147" s="69" t="s">
        <v>990</v>
      </c>
      <c r="S147" s="69" t="s">
        <v>991</v>
      </c>
      <c r="T147" s="69" t="s">
        <v>992</v>
      </c>
      <c r="U147" t="str">
        <f t="shared" si="8"/>
        <v>RUB Russian Ruble</v>
      </c>
      <c r="W147" s="156" t="s">
        <v>1401</v>
      </c>
      <c r="X147" s="157">
        <v>101</v>
      </c>
      <c r="Y147" s="157">
        <v>1</v>
      </c>
    </row>
    <row r="148" spans="1:25">
      <c r="A148" s="2">
        <v>138</v>
      </c>
      <c r="B148" t="s">
        <v>252</v>
      </c>
      <c r="C148" s="1" t="s">
        <v>155</v>
      </c>
      <c r="R148" s="69" t="s">
        <v>993</v>
      </c>
      <c r="S148" s="69"/>
      <c r="T148" s="69"/>
      <c r="U148" t="str">
        <f t="shared" si="8"/>
        <v xml:space="preserve">RUE </v>
      </c>
      <c r="W148" s="156" t="s">
        <v>1402</v>
      </c>
      <c r="X148" s="157">
        <v>130</v>
      </c>
      <c r="Y148" s="157">
        <v>1</v>
      </c>
    </row>
    <row r="149" spans="1:25">
      <c r="A149" s="2">
        <v>139</v>
      </c>
      <c r="B149" s="1" t="s">
        <v>1240</v>
      </c>
      <c r="C149" s="1" t="s">
        <v>1241</v>
      </c>
      <c r="R149" s="69" t="s">
        <v>994</v>
      </c>
      <c r="S149" s="69" t="s">
        <v>995</v>
      </c>
      <c r="T149" s="69" t="s">
        <v>996</v>
      </c>
      <c r="U149" t="str">
        <f t="shared" si="8"/>
        <v>RWF Rwandan Franc</v>
      </c>
      <c r="W149" s="156" t="s">
        <v>1403</v>
      </c>
      <c r="X149" s="157">
        <v>137</v>
      </c>
      <c r="Y149" s="157">
        <v>1</v>
      </c>
    </row>
    <row r="150" spans="1:25">
      <c r="A150" s="2">
        <v>140</v>
      </c>
      <c r="B150" t="s">
        <v>1539</v>
      </c>
      <c r="C150" t="s">
        <v>1538</v>
      </c>
      <c r="R150" s="69" t="s">
        <v>997</v>
      </c>
      <c r="S150" s="69" t="s">
        <v>998</v>
      </c>
      <c r="T150" s="69" t="s">
        <v>998</v>
      </c>
      <c r="U150" t="str">
        <f t="shared" si="8"/>
        <v>SAR Saudi Riyal</v>
      </c>
      <c r="W150" s="156" t="s">
        <v>1404</v>
      </c>
      <c r="X150" s="157">
        <v>101</v>
      </c>
      <c r="Y150" s="157">
        <v>1</v>
      </c>
    </row>
    <row r="151" spans="1:25" ht="89.25">
      <c r="A151" s="2">
        <v>141</v>
      </c>
      <c r="B151" s="7" t="s">
        <v>1593</v>
      </c>
      <c r="C151" s="7" t="s">
        <v>1592</v>
      </c>
      <c r="E151" s="30"/>
      <c r="R151" s="69" t="s">
        <v>999</v>
      </c>
      <c r="S151" s="69" t="s">
        <v>1000</v>
      </c>
      <c r="T151" s="69" t="s">
        <v>1001</v>
      </c>
      <c r="U151" s="70" t="str">
        <f t="shared" si="8"/>
        <v>SBD Solomon Islands Dollar</v>
      </c>
      <c r="W151" s="156" t="s">
        <v>1405</v>
      </c>
      <c r="X151" s="157">
        <v>116</v>
      </c>
      <c r="Y151" s="157">
        <v>1</v>
      </c>
    </row>
    <row r="152" spans="1:25">
      <c r="A152" s="2">
        <v>142</v>
      </c>
      <c r="B152" t="s">
        <v>1646</v>
      </c>
      <c r="C152" s="30" t="s">
        <v>1647</v>
      </c>
      <c r="D152" s="30"/>
      <c r="E152" s="30"/>
      <c r="R152" s="69" t="s">
        <v>1002</v>
      </c>
      <c r="S152" s="69" t="s">
        <v>1003</v>
      </c>
      <c r="T152" s="69" t="s">
        <v>1004</v>
      </c>
      <c r="U152" t="str">
        <f t="shared" si="8"/>
        <v>SCR Seychelles Rupee</v>
      </c>
      <c r="W152" s="154" t="s">
        <v>1406</v>
      </c>
      <c r="X152" s="155">
        <v>40</v>
      </c>
      <c r="Y152" s="155">
        <v>0</v>
      </c>
    </row>
    <row r="153" spans="1:25">
      <c r="A153" s="2">
        <v>143</v>
      </c>
      <c r="B153" t="s">
        <v>253</v>
      </c>
      <c r="C153" s="30" t="s">
        <v>148</v>
      </c>
      <c r="D153" s="30"/>
      <c r="E153" s="30"/>
      <c r="R153" s="69" t="s">
        <v>1005</v>
      </c>
      <c r="S153" s="69" t="s">
        <v>1006</v>
      </c>
      <c r="T153" s="69" t="s">
        <v>1007</v>
      </c>
      <c r="U153" t="str">
        <f t="shared" si="8"/>
        <v>SDP Sudanese Pound</v>
      </c>
      <c r="W153" s="156" t="s">
        <v>1407</v>
      </c>
      <c r="X153" s="157">
        <v>63</v>
      </c>
      <c r="Y153" s="157">
        <v>1</v>
      </c>
    </row>
    <row r="154" spans="1:25">
      <c r="A154" s="2">
        <v>144</v>
      </c>
      <c r="B154" s="1" t="s">
        <v>310</v>
      </c>
      <c r="C154" t="s">
        <v>164</v>
      </c>
      <c r="E154" s="30"/>
      <c r="R154" s="69" t="s">
        <v>1008</v>
      </c>
      <c r="S154" s="69" t="s">
        <v>1009</v>
      </c>
      <c r="T154" s="69" t="s">
        <v>1010</v>
      </c>
      <c r="U154" t="str">
        <f t="shared" si="8"/>
        <v>SEK Swedish Krona</v>
      </c>
      <c r="W154" s="156" t="s">
        <v>1408</v>
      </c>
      <c r="X154" s="157">
        <v>54</v>
      </c>
      <c r="Y154" s="157">
        <v>1</v>
      </c>
    </row>
    <row r="155" spans="1:25">
      <c r="A155" s="2">
        <v>145</v>
      </c>
      <c r="B155" t="s">
        <v>254</v>
      </c>
      <c r="C155" t="s">
        <v>36</v>
      </c>
      <c r="E155" s="30"/>
      <c r="R155" s="69" t="s">
        <v>1011</v>
      </c>
      <c r="S155" s="69" t="s">
        <v>1012</v>
      </c>
      <c r="T155" s="69" t="s">
        <v>1013</v>
      </c>
      <c r="U155" t="str">
        <f t="shared" si="8"/>
        <v>SGD Singapore Dollar</v>
      </c>
      <c r="W155" s="154" t="s">
        <v>1409</v>
      </c>
      <c r="X155" s="155">
        <v>45</v>
      </c>
      <c r="Y155" s="155">
        <v>0</v>
      </c>
    </row>
    <row r="156" spans="1:25">
      <c r="A156" s="2">
        <v>146</v>
      </c>
      <c r="B156" s="1" t="s">
        <v>1506</v>
      </c>
      <c r="C156" t="s">
        <v>1505</v>
      </c>
      <c r="E156" s="30"/>
      <c r="R156" s="69" t="s">
        <v>1014</v>
      </c>
      <c r="S156" s="69" t="s">
        <v>1015</v>
      </c>
      <c r="T156" s="69" t="s">
        <v>1016</v>
      </c>
      <c r="U156" t="str">
        <f t="shared" si="8"/>
        <v>SHP St.Helena Pound</v>
      </c>
      <c r="W156" s="154" t="s">
        <v>1410</v>
      </c>
      <c r="X156" s="155">
        <v>35</v>
      </c>
      <c r="Y156" s="155">
        <v>0</v>
      </c>
    </row>
    <row r="157" spans="1:25">
      <c r="A157" s="2">
        <v>147</v>
      </c>
      <c r="B157" t="s">
        <v>1508</v>
      </c>
      <c r="C157" t="s">
        <v>1507</v>
      </c>
      <c r="E157" s="30"/>
      <c r="R157" s="69" t="s">
        <v>1017</v>
      </c>
      <c r="S157" s="69" t="s">
        <v>1018</v>
      </c>
      <c r="T157" s="69" t="s">
        <v>1019</v>
      </c>
      <c r="U157" t="str">
        <f t="shared" si="8"/>
        <v>SIT Slovenian Tolar</v>
      </c>
      <c r="W157" s="156" t="s">
        <v>1411</v>
      </c>
      <c r="X157" s="157">
        <v>65</v>
      </c>
      <c r="Y157" s="157">
        <v>1</v>
      </c>
    </row>
    <row r="158" spans="1:25">
      <c r="A158" s="2">
        <v>148</v>
      </c>
      <c r="B158" t="s">
        <v>255</v>
      </c>
      <c r="C158" t="s">
        <v>156</v>
      </c>
      <c r="E158" s="30"/>
      <c r="R158" s="69" t="s">
        <v>1020</v>
      </c>
      <c r="S158" s="69" t="s">
        <v>1021</v>
      </c>
      <c r="T158" s="69" t="s">
        <v>1022</v>
      </c>
      <c r="U158" t="str">
        <f t="shared" si="8"/>
        <v>SKK Slovakian Krona</v>
      </c>
      <c r="W158" s="156" t="s">
        <v>1412</v>
      </c>
      <c r="X158" s="157">
        <v>54</v>
      </c>
      <c r="Y158" s="157">
        <v>1</v>
      </c>
    </row>
    <row r="159" spans="1:25">
      <c r="A159" s="2">
        <v>149</v>
      </c>
      <c r="B159" t="s">
        <v>256</v>
      </c>
      <c r="C159" t="s">
        <v>37</v>
      </c>
      <c r="E159" s="30"/>
      <c r="R159" s="69" t="s">
        <v>1023</v>
      </c>
      <c r="S159" s="69" t="s">
        <v>1024</v>
      </c>
      <c r="T159" s="69" t="s">
        <v>1024</v>
      </c>
      <c r="U159" t="str">
        <f t="shared" si="8"/>
        <v>SLL Sierra Leone Leone</v>
      </c>
      <c r="W159" s="156" t="s">
        <v>1413</v>
      </c>
      <c r="X159" s="157">
        <v>72</v>
      </c>
      <c r="Y159" s="157">
        <v>1</v>
      </c>
    </row>
    <row r="160" spans="1:25">
      <c r="A160" s="2">
        <v>150</v>
      </c>
      <c r="B160" t="s">
        <v>257</v>
      </c>
      <c r="C160" t="s">
        <v>54</v>
      </c>
      <c r="E160" s="30"/>
      <c r="R160" s="69" t="s">
        <v>1025</v>
      </c>
      <c r="S160" s="69" t="s">
        <v>1026</v>
      </c>
      <c r="T160" s="69" t="s">
        <v>1027</v>
      </c>
      <c r="U160" t="str">
        <f t="shared" si="8"/>
        <v>SOS Somalian Shilling</v>
      </c>
      <c r="W160" s="156" t="s">
        <v>1414</v>
      </c>
      <c r="X160" s="157">
        <v>101</v>
      </c>
      <c r="Y160" s="157">
        <v>1</v>
      </c>
    </row>
    <row r="161" spans="1:25">
      <c r="A161" s="2">
        <v>151</v>
      </c>
      <c r="B161" t="s">
        <v>258</v>
      </c>
      <c r="C161" t="s">
        <v>38</v>
      </c>
      <c r="R161" s="69" t="s">
        <v>1028</v>
      </c>
      <c r="S161" s="69" t="s">
        <v>1029</v>
      </c>
      <c r="T161" s="69" t="s">
        <v>1030</v>
      </c>
      <c r="U161" t="str">
        <f t="shared" si="8"/>
        <v>SRG Surinam Guilder</v>
      </c>
      <c r="W161" s="154" t="s">
        <v>1415</v>
      </c>
      <c r="X161" s="155">
        <v>23</v>
      </c>
      <c r="Y161" s="155">
        <v>0</v>
      </c>
    </row>
    <row r="162" spans="1:25">
      <c r="A162" s="2">
        <v>152</v>
      </c>
      <c r="B162" t="s">
        <v>259</v>
      </c>
      <c r="C162" t="s">
        <v>39</v>
      </c>
      <c r="F162" s="33"/>
      <c r="R162" s="69" t="s">
        <v>1031</v>
      </c>
      <c r="S162" s="69" t="s">
        <v>1032</v>
      </c>
      <c r="T162" s="69" t="s">
        <v>1033</v>
      </c>
      <c r="U162" t="str">
        <f t="shared" si="8"/>
        <v>STD Sao Tome / Principe Dobra</v>
      </c>
      <c r="W162" s="156" t="s">
        <v>1416</v>
      </c>
      <c r="X162" s="157">
        <v>110</v>
      </c>
      <c r="Y162" s="157">
        <v>1</v>
      </c>
    </row>
    <row r="163" spans="1:25" ht="15">
      <c r="A163" s="2">
        <v>153</v>
      </c>
      <c r="B163" t="s">
        <v>260</v>
      </c>
      <c r="C163" s="30" t="s">
        <v>161</v>
      </c>
      <c r="D163" s="30"/>
      <c r="F163" s="31"/>
      <c r="G163" s="33"/>
      <c r="H163" s="33"/>
      <c r="I163" s="33"/>
      <c r="R163" s="69" t="s">
        <v>1034</v>
      </c>
      <c r="S163" s="69" t="s">
        <v>1035</v>
      </c>
      <c r="T163" s="69" t="s">
        <v>1036</v>
      </c>
      <c r="U163" t="str">
        <f t="shared" si="8"/>
        <v>SVC El Salvador Colon</v>
      </c>
      <c r="W163" s="154" t="s">
        <v>1417</v>
      </c>
      <c r="X163" s="155">
        <v>5</v>
      </c>
      <c r="Y163" s="155">
        <v>0</v>
      </c>
    </row>
    <row r="164" spans="1:25" ht="15" customHeight="1">
      <c r="A164" s="2">
        <v>154</v>
      </c>
      <c r="B164" t="s">
        <v>261</v>
      </c>
      <c r="C164" s="30" t="s">
        <v>40</v>
      </c>
      <c r="D164" s="30"/>
      <c r="F164" s="33"/>
      <c r="G164" s="32"/>
      <c r="H164" s="32"/>
      <c r="I164" s="32"/>
      <c r="R164" s="69" t="s">
        <v>1037</v>
      </c>
      <c r="S164" s="69" t="s">
        <v>1038</v>
      </c>
      <c r="T164" s="69" t="s">
        <v>1039</v>
      </c>
      <c r="U164" t="str">
        <f t="shared" si="8"/>
        <v>SYP Syrian Pound</v>
      </c>
      <c r="W164" s="154" t="s">
        <v>1418</v>
      </c>
      <c r="X164" s="155">
        <v>41</v>
      </c>
      <c r="Y164" s="155">
        <v>0</v>
      </c>
    </row>
    <row r="165" spans="1:25" ht="15">
      <c r="A165" s="2">
        <v>155</v>
      </c>
      <c r="B165" t="s">
        <v>1511</v>
      </c>
      <c r="C165" s="30" t="s">
        <v>1510</v>
      </c>
      <c r="D165" s="30"/>
      <c r="F165" s="31"/>
      <c r="G165" s="33"/>
      <c r="H165" s="33"/>
      <c r="I165" s="33"/>
      <c r="R165" s="69" t="s">
        <v>1040</v>
      </c>
      <c r="S165" s="69" t="s">
        <v>1041</v>
      </c>
      <c r="T165" s="69" t="s">
        <v>1042</v>
      </c>
      <c r="U165" t="str">
        <f t="shared" si="8"/>
        <v>SZL Swaziland Lilangeni</v>
      </c>
      <c r="W165" s="156" t="s">
        <v>1419</v>
      </c>
      <c r="X165" s="157">
        <v>77</v>
      </c>
      <c r="Y165" s="157">
        <v>1</v>
      </c>
    </row>
    <row r="166" spans="1:25" ht="15" customHeight="1">
      <c r="A166" s="2">
        <v>156</v>
      </c>
      <c r="B166" t="s">
        <v>1512</v>
      </c>
      <c r="C166" s="30" t="s">
        <v>1513</v>
      </c>
      <c r="D166" s="30"/>
      <c r="F166" s="33"/>
      <c r="G166" s="32"/>
      <c r="H166" s="32"/>
      <c r="I166" s="32"/>
      <c r="R166" s="69" t="s">
        <v>1043</v>
      </c>
      <c r="S166" s="69" t="s">
        <v>1044</v>
      </c>
      <c r="T166" s="69" t="s">
        <v>1045</v>
      </c>
      <c r="U166" t="str">
        <f t="shared" si="8"/>
        <v>THB Thailand Baht</v>
      </c>
      <c r="W166" s="158" t="s">
        <v>1420</v>
      </c>
      <c r="X166" s="159">
        <v>180</v>
      </c>
      <c r="Y166" s="159">
        <v>100</v>
      </c>
    </row>
    <row r="167" spans="1:25" ht="15">
      <c r="A167" s="2">
        <v>157</v>
      </c>
      <c r="B167" t="s">
        <v>304</v>
      </c>
      <c r="C167" s="30" t="s">
        <v>160</v>
      </c>
      <c r="D167" s="30"/>
      <c r="F167" s="31"/>
      <c r="G167" s="33"/>
      <c r="H167" s="33"/>
      <c r="I167" s="33"/>
      <c r="R167" s="69" t="s">
        <v>1046</v>
      </c>
      <c r="S167" s="69" t="s">
        <v>1047</v>
      </c>
      <c r="T167" s="69" t="s">
        <v>1048</v>
      </c>
      <c r="U167" t="str">
        <f t="shared" si="8"/>
        <v>TJR Tajikistani Ruble</v>
      </c>
      <c r="W167" s="158" t="s">
        <v>1421</v>
      </c>
      <c r="X167" s="159">
        <v>178</v>
      </c>
      <c r="Y167" s="159">
        <v>100</v>
      </c>
    </row>
    <row r="168" spans="1:25">
      <c r="A168" s="2">
        <v>158</v>
      </c>
      <c r="B168" t="s">
        <v>262</v>
      </c>
      <c r="C168" s="30" t="s">
        <v>41</v>
      </c>
      <c r="D168" s="30"/>
      <c r="E168" s="30"/>
      <c r="F168" s="33"/>
      <c r="G168" s="32"/>
      <c r="H168" s="32"/>
      <c r="I168" s="32"/>
      <c r="R168" s="69" t="s">
        <v>1049</v>
      </c>
      <c r="S168" s="69" t="s">
        <v>1050</v>
      </c>
      <c r="T168" s="69" t="s">
        <v>1051</v>
      </c>
      <c r="U168" t="str">
        <f t="shared" si="8"/>
        <v>TMM Turkmenistani Manat</v>
      </c>
      <c r="W168" s="156" t="s">
        <v>1422</v>
      </c>
      <c r="X168" s="157">
        <v>101</v>
      </c>
      <c r="Y168" s="157">
        <v>1</v>
      </c>
    </row>
    <row r="169" spans="1:25" ht="15">
      <c r="A169" s="2">
        <v>159</v>
      </c>
      <c r="B169" t="s">
        <v>1518</v>
      </c>
      <c r="C169" s="30" t="s">
        <v>159</v>
      </c>
      <c r="D169" s="30"/>
      <c r="E169" s="30"/>
      <c r="F169" s="31"/>
      <c r="G169" s="33"/>
      <c r="H169" s="33"/>
      <c r="I169" s="33"/>
      <c r="R169" s="69" t="s">
        <v>1052</v>
      </c>
      <c r="S169" s="69" t="s">
        <v>1053</v>
      </c>
      <c r="T169" s="69" t="s">
        <v>1054</v>
      </c>
      <c r="U169" t="str">
        <f t="shared" si="8"/>
        <v>TND Tunisian Dinar</v>
      </c>
      <c r="W169" s="158" t="s">
        <v>1423</v>
      </c>
      <c r="X169" s="159">
        <v>162</v>
      </c>
      <c r="Y169" s="159">
        <v>100</v>
      </c>
    </row>
    <row r="170" spans="1:25">
      <c r="A170" s="2">
        <v>160</v>
      </c>
      <c r="B170" t="s">
        <v>263</v>
      </c>
      <c r="C170" s="30" t="s">
        <v>42</v>
      </c>
      <c r="D170" s="30"/>
      <c r="E170" s="30"/>
      <c r="F170" s="33"/>
      <c r="G170" s="32"/>
      <c r="H170" s="32"/>
      <c r="I170" s="32"/>
      <c r="R170" s="69" t="s">
        <v>1055</v>
      </c>
      <c r="S170" s="69" t="s">
        <v>1056</v>
      </c>
      <c r="T170" s="69" t="s">
        <v>1057</v>
      </c>
      <c r="U170" t="str">
        <f t="shared" ref="U170:U200" si="9">CONCATENATE(R170&amp;" "&amp;IF(Language=$B$11,S170,T170))</f>
        <v>TOP Tongan Pa'anga</v>
      </c>
      <c r="W170" s="156" t="s">
        <v>1424</v>
      </c>
      <c r="X170" s="157">
        <v>85</v>
      </c>
      <c r="Y170" s="157">
        <v>1</v>
      </c>
    </row>
    <row r="171" spans="1:25" ht="15">
      <c r="A171" s="2">
        <v>161</v>
      </c>
      <c r="B171" t="s">
        <v>264</v>
      </c>
      <c r="C171" s="30" t="s">
        <v>162</v>
      </c>
      <c r="D171" s="30"/>
      <c r="E171" s="30"/>
      <c r="F171" s="31"/>
      <c r="G171" s="33"/>
      <c r="H171" s="33"/>
      <c r="I171" s="33"/>
      <c r="R171" s="69" t="s">
        <v>1058</v>
      </c>
      <c r="S171" s="69" t="s">
        <v>1059</v>
      </c>
      <c r="T171" s="69" t="s">
        <v>1059</v>
      </c>
      <c r="U171" t="str">
        <f t="shared" si="9"/>
        <v>TPE Timor Escudo</v>
      </c>
      <c r="W171" s="158" t="s">
        <v>1425</v>
      </c>
      <c r="X171" s="159">
        <v>178</v>
      </c>
      <c r="Y171" s="159">
        <v>100</v>
      </c>
    </row>
    <row r="172" spans="1:25" ht="15" customHeight="1">
      <c r="A172" s="2">
        <v>162</v>
      </c>
      <c r="B172" t="s">
        <v>265</v>
      </c>
      <c r="C172" s="30" t="s">
        <v>149</v>
      </c>
      <c r="D172" s="30"/>
      <c r="E172" s="30"/>
      <c r="G172" s="32"/>
      <c r="H172" s="32"/>
      <c r="I172" s="32"/>
      <c r="R172" s="69" t="s">
        <v>1060</v>
      </c>
      <c r="S172" s="69" t="s">
        <v>1061</v>
      </c>
      <c r="T172" s="69" t="s">
        <v>1062</v>
      </c>
      <c r="U172" t="str">
        <f t="shared" si="9"/>
        <v>TRL Turkish Lira</v>
      </c>
      <c r="W172" s="154" t="s">
        <v>1426</v>
      </c>
      <c r="X172" s="155">
        <v>25</v>
      </c>
      <c r="Y172" s="155">
        <v>0</v>
      </c>
    </row>
    <row r="173" spans="1:25">
      <c r="A173" s="2">
        <v>163</v>
      </c>
      <c r="B173" t="s">
        <v>266</v>
      </c>
      <c r="C173" t="s">
        <v>50</v>
      </c>
      <c r="E173" s="30"/>
      <c r="R173" s="69" t="s">
        <v>1063</v>
      </c>
      <c r="S173" s="69" t="s">
        <v>1061</v>
      </c>
      <c r="T173" s="69" t="s">
        <v>1064</v>
      </c>
      <c r="U173" t="str">
        <f t="shared" si="9"/>
        <v>TRY New Turkish Lira</v>
      </c>
      <c r="W173" s="156" t="s">
        <v>1427</v>
      </c>
      <c r="X173" s="157">
        <v>150</v>
      </c>
      <c r="Y173" s="157">
        <v>1</v>
      </c>
    </row>
    <row r="174" spans="1:25">
      <c r="A174" s="2">
        <v>164</v>
      </c>
      <c r="B174" t="s">
        <v>267</v>
      </c>
      <c r="C174" t="s">
        <v>43</v>
      </c>
      <c r="E174" s="36"/>
      <c r="R174" s="69" t="s">
        <v>1065</v>
      </c>
      <c r="S174" s="69" t="s">
        <v>1066</v>
      </c>
      <c r="T174" s="69" t="s">
        <v>1067</v>
      </c>
      <c r="U174" t="str">
        <f t="shared" si="9"/>
        <v>TTD Trinidad and Tobago Dollar</v>
      </c>
      <c r="W174" s="156" t="s">
        <v>1428</v>
      </c>
      <c r="X174" s="157">
        <v>94</v>
      </c>
      <c r="Y174" s="157">
        <v>1</v>
      </c>
    </row>
    <row r="175" spans="1:25">
      <c r="A175" s="2">
        <v>165</v>
      </c>
      <c r="B175" t="s">
        <v>268</v>
      </c>
      <c r="C175" t="s">
        <v>44</v>
      </c>
      <c r="E175" s="30"/>
      <c r="R175" s="69" t="s">
        <v>1068</v>
      </c>
      <c r="S175" s="69" t="s">
        <v>1069</v>
      </c>
      <c r="T175" s="69" t="s">
        <v>1070</v>
      </c>
      <c r="U175" t="str">
        <f t="shared" si="9"/>
        <v>TWD New Taiwan Dollar</v>
      </c>
      <c r="W175" s="156" t="s">
        <v>1429</v>
      </c>
      <c r="X175" s="157">
        <v>77</v>
      </c>
      <c r="Y175" s="157">
        <v>1</v>
      </c>
    </row>
    <row r="176" spans="1:25">
      <c r="A176" s="2">
        <v>166</v>
      </c>
      <c r="B176" t="s">
        <v>269</v>
      </c>
      <c r="C176" t="s">
        <v>51</v>
      </c>
      <c r="E176" s="30"/>
      <c r="R176" s="69" t="s">
        <v>1071</v>
      </c>
      <c r="S176" s="69" t="s">
        <v>1072</v>
      </c>
      <c r="T176" s="69" t="s">
        <v>1073</v>
      </c>
      <c r="U176" t="str">
        <f t="shared" si="9"/>
        <v>TZS Tanzanian Shilling</v>
      </c>
      <c r="W176" s="156" t="s">
        <v>1430</v>
      </c>
      <c r="X176" s="157">
        <v>130</v>
      </c>
      <c r="Y176" s="157">
        <v>1</v>
      </c>
    </row>
    <row r="177" spans="1:25" ht="89.25">
      <c r="A177" s="2">
        <v>167</v>
      </c>
      <c r="B177" s="45" t="s">
        <v>305</v>
      </c>
      <c r="C177" s="17" t="s">
        <v>45</v>
      </c>
      <c r="E177" s="36"/>
      <c r="R177" s="69" t="s">
        <v>1074</v>
      </c>
      <c r="S177" s="69" t="s">
        <v>1075</v>
      </c>
      <c r="T177" s="69" t="s">
        <v>1076</v>
      </c>
      <c r="U177" t="str">
        <f t="shared" si="9"/>
        <v>UAH Ukrainian Hryvnia</v>
      </c>
      <c r="W177" s="156" t="s">
        <v>1431</v>
      </c>
      <c r="X177" s="157">
        <v>77</v>
      </c>
      <c r="Y177" s="157">
        <v>1</v>
      </c>
    </row>
    <row r="178" spans="1:25">
      <c r="A178" s="2">
        <v>168</v>
      </c>
      <c r="B178" t="s">
        <v>270</v>
      </c>
      <c r="C178" t="s">
        <v>46</v>
      </c>
      <c r="E178" s="30"/>
      <c r="R178" s="69" t="s">
        <v>1077</v>
      </c>
      <c r="S178" s="69"/>
      <c r="T178" s="69" t="s">
        <v>1078</v>
      </c>
      <c r="U178" t="str">
        <f t="shared" si="9"/>
        <v>UAK Ukrainian Karbowanez (old)</v>
      </c>
      <c r="W178" s="158" t="s">
        <v>1432</v>
      </c>
      <c r="X178" s="159">
        <v>85</v>
      </c>
      <c r="Y178" s="159">
        <v>100</v>
      </c>
    </row>
    <row r="179" spans="1:25">
      <c r="A179" s="2">
        <v>169</v>
      </c>
      <c r="B179" t="s">
        <v>271</v>
      </c>
      <c r="C179" t="s">
        <v>52</v>
      </c>
      <c r="E179" s="30"/>
      <c r="F179" s="33"/>
      <c r="R179" s="69" t="s">
        <v>1079</v>
      </c>
      <c r="S179" s="69" t="s">
        <v>1080</v>
      </c>
      <c r="T179" s="69" t="s">
        <v>1081</v>
      </c>
      <c r="U179" t="str">
        <f t="shared" si="9"/>
        <v>UGX Ugandan Shilling</v>
      </c>
      <c r="W179" s="156" t="s">
        <v>1433</v>
      </c>
      <c r="X179" s="157">
        <v>167</v>
      </c>
      <c r="Y179" s="157">
        <v>1</v>
      </c>
    </row>
    <row r="180" spans="1:25" ht="12.75" customHeight="1">
      <c r="A180" s="2">
        <v>170</v>
      </c>
      <c r="B180" t="s">
        <v>272</v>
      </c>
      <c r="C180" s="30" t="s">
        <v>165</v>
      </c>
      <c r="D180" s="30"/>
      <c r="E180" s="30"/>
      <c r="F180" s="31"/>
      <c r="G180" s="33"/>
      <c r="H180" s="33"/>
      <c r="I180" s="33"/>
      <c r="R180" s="69" t="s">
        <v>1082</v>
      </c>
      <c r="S180" s="69" t="s">
        <v>1083</v>
      </c>
      <c r="T180" s="69" t="s">
        <v>1084</v>
      </c>
      <c r="U180" t="str">
        <f t="shared" si="9"/>
        <v>USDN (Internal) United States Dollar (5 Dec.)</v>
      </c>
      <c r="W180" s="156" t="s">
        <v>1434</v>
      </c>
      <c r="X180" s="157">
        <v>142</v>
      </c>
      <c r="Y180" s="157">
        <v>1</v>
      </c>
    </row>
    <row r="181" spans="1:25" ht="15" customHeight="1">
      <c r="A181" s="2">
        <v>171</v>
      </c>
      <c r="B181" t="s">
        <v>273</v>
      </c>
      <c r="C181" s="30" t="s">
        <v>47</v>
      </c>
      <c r="D181" s="30"/>
      <c r="E181" s="30"/>
      <c r="F181" s="33"/>
      <c r="G181" s="32"/>
      <c r="H181" s="32"/>
      <c r="I181" s="32"/>
      <c r="R181" s="69" t="s">
        <v>1085</v>
      </c>
      <c r="S181" s="69" t="s">
        <v>1086</v>
      </c>
      <c r="T181" s="69" t="s">
        <v>1087</v>
      </c>
      <c r="U181" t="str">
        <f t="shared" si="9"/>
        <v>UYU Uruguayan Peso (new)</v>
      </c>
      <c r="W181" s="158" t="s">
        <v>1435</v>
      </c>
      <c r="X181" s="159">
        <v>116</v>
      </c>
      <c r="Y181" s="159">
        <v>100</v>
      </c>
    </row>
    <row r="182" spans="1:25" ht="12.75" customHeight="1">
      <c r="A182" s="2">
        <v>172</v>
      </c>
      <c r="B182" t="s">
        <v>274</v>
      </c>
      <c r="C182" s="30" t="s">
        <v>158</v>
      </c>
      <c r="D182" s="30"/>
      <c r="F182" s="31"/>
      <c r="G182" s="33"/>
      <c r="H182" s="33"/>
      <c r="I182" s="33"/>
      <c r="R182" s="69" t="s">
        <v>1088</v>
      </c>
      <c r="S182" s="69" t="s">
        <v>1089</v>
      </c>
      <c r="T182" s="69" t="s">
        <v>1090</v>
      </c>
      <c r="U182" t="str">
        <f t="shared" si="9"/>
        <v>UZS Uzbekistan Som</v>
      </c>
      <c r="W182" s="154" t="s">
        <v>1436</v>
      </c>
      <c r="X182" s="155">
        <v>27</v>
      </c>
      <c r="Y182" s="155">
        <v>0</v>
      </c>
    </row>
    <row r="183" spans="1:25">
      <c r="A183" s="2">
        <v>173</v>
      </c>
      <c r="B183" t="s">
        <v>275</v>
      </c>
      <c r="C183" s="30" t="s">
        <v>48</v>
      </c>
      <c r="D183" s="30"/>
      <c r="F183" s="33"/>
      <c r="G183" s="32"/>
      <c r="H183" s="32"/>
      <c r="I183" s="32"/>
      <c r="R183" s="69" t="s">
        <v>1091</v>
      </c>
      <c r="S183" s="69" t="s">
        <v>1092</v>
      </c>
      <c r="T183" s="69" t="s">
        <v>1093</v>
      </c>
      <c r="U183" t="str">
        <f t="shared" si="9"/>
        <v>VEB Venezuelan Bolivar</v>
      </c>
      <c r="W183" s="154" t="s">
        <v>1437</v>
      </c>
      <c r="X183" s="155">
        <v>14</v>
      </c>
      <c r="Y183" s="155">
        <v>0</v>
      </c>
    </row>
    <row r="184" spans="1:25" ht="12.75" customHeight="1">
      <c r="A184" s="2">
        <v>174</v>
      </c>
      <c r="B184" t="s">
        <v>276</v>
      </c>
      <c r="C184" s="30" t="s">
        <v>166</v>
      </c>
      <c r="D184" s="30"/>
      <c r="F184" s="31"/>
      <c r="G184" s="33"/>
      <c r="H184" s="33"/>
      <c r="I184" s="33"/>
      <c r="R184" s="69" t="s">
        <v>1094</v>
      </c>
      <c r="S184" s="69" t="s">
        <v>1095</v>
      </c>
      <c r="T184" s="69" t="s">
        <v>1096</v>
      </c>
      <c r="U184" t="str">
        <f t="shared" si="9"/>
        <v>VND Vietnamese Dong</v>
      </c>
      <c r="W184" s="156" t="s">
        <v>1438</v>
      </c>
      <c r="X184" s="157">
        <v>126</v>
      </c>
      <c r="Y184" s="157">
        <v>1</v>
      </c>
    </row>
    <row r="185" spans="1:25" ht="15" customHeight="1">
      <c r="A185" s="2">
        <v>175</v>
      </c>
      <c r="B185" t="s">
        <v>277</v>
      </c>
      <c r="C185" s="30" t="s">
        <v>49</v>
      </c>
      <c r="D185" s="30"/>
      <c r="F185" s="34"/>
      <c r="G185" s="32"/>
      <c r="H185" s="32"/>
      <c r="I185" s="32"/>
      <c r="R185" s="69" t="s">
        <v>1097</v>
      </c>
      <c r="S185" s="69" t="s">
        <v>1098</v>
      </c>
      <c r="T185" s="69" t="s">
        <v>1099</v>
      </c>
      <c r="U185" t="str">
        <f t="shared" si="9"/>
        <v>VUV Vanuatu Vatu</v>
      </c>
      <c r="W185" s="156" t="s">
        <v>1439</v>
      </c>
      <c r="X185" s="157">
        <v>60</v>
      </c>
      <c r="Y185" s="157">
        <v>1</v>
      </c>
    </row>
    <row r="186" spans="1:25">
      <c r="A186" s="2">
        <v>176</v>
      </c>
      <c r="B186" t="s">
        <v>278</v>
      </c>
      <c r="C186" s="36" t="s">
        <v>53</v>
      </c>
      <c r="D186" s="36"/>
      <c r="F186" s="33"/>
      <c r="G186" s="34"/>
      <c r="H186" s="34"/>
      <c r="I186" s="34"/>
      <c r="R186" s="69" t="s">
        <v>1100</v>
      </c>
      <c r="S186" s="69" t="s">
        <v>1101</v>
      </c>
      <c r="T186" s="69" t="s">
        <v>1102</v>
      </c>
      <c r="U186" t="str">
        <f t="shared" si="9"/>
        <v>WST Samoan Tala</v>
      </c>
      <c r="W186" s="158" t="s">
        <v>1440</v>
      </c>
      <c r="X186" s="159">
        <v>177</v>
      </c>
      <c r="Y186" s="159">
        <v>100</v>
      </c>
    </row>
    <row r="187" spans="1:25">
      <c r="A187" s="2">
        <v>177</v>
      </c>
      <c r="B187" t="s">
        <v>279</v>
      </c>
      <c r="C187" s="30" t="s">
        <v>167</v>
      </c>
      <c r="D187" s="30"/>
      <c r="F187" s="35"/>
      <c r="G187" s="33"/>
      <c r="H187" s="33"/>
      <c r="I187" s="33"/>
      <c r="R187" s="69" t="s">
        <v>1103</v>
      </c>
      <c r="S187" s="69" t="s">
        <v>1104</v>
      </c>
      <c r="T187" s="69" t="s">
        <v>1105</v>
      </c>
      <c r="U187" t="str">
        <f t="shared" si="9"/>
        <v>XAF Gabon CFA Franc BEAC</v>
      </c>
      <c r="W187" s="156" t="s">
        <v>1441</v>
      </c>
      <c r="X187" s="157">
        <v>77</v>
      </c>
      <c r="Y187" s="157">
        <v>1</v>
      </c>
    </row>
    <row r="188" spans="1:25" ht="15.75" customHeight="1">
      <c r="A188" s="2">
        <v>178</v>
      </c>
      <c r="B188" t="s">
        <v>280</v>
      </c>
      <c r="C188" s="30" t="s">
        <v>150</v>
      </c>
      <c r="D188" s="30"/>
      <c r="F188" s="35"/>
      <c r="G188" s="33"/>
      <c r="H188" s="33"/>
      <c r="I188" s="33"/>
      <c r="R188" s="69" t="s">
        <v>1106</v>
      </c>
      <c r="S188" s="69" t="s">
        <v>1107</v>
      </c>
      <c r="T188" s="69" t="s">
        <v>1108</v>
      </c>
      <c r="U188" t="str">
        <f t="shared" si="9"/>
        <v>XCD East Carribean Dollar</v>
      </c>
      <c r="W188" s="158" t="s">
        <v>1442</v>
      </c>
      <c r="X188" s="159">
        <v>176</v>
      </c>
      <c r="Y188" s="159">
        <v>100</v>
      </c>
    </row>
    <row r="189" spans="1:25">
      <c r="A189" s="2">
        <v>179</v>
      </c>
      <c r="B189" t="s">
        <v>306</v>
      </c>
      <c r="C189" s="36" t="s">
        <v>151</v>
      </c>
      <c r="D189" s="36"/>
      <c r="F189" s="30"/>
      <c r="G189" s="30"/>
      <c r="H189" s="30"/>
      <c r="I189" s="30"/>
      <c r="R189" s="69" t="s">
        <v>1109</v>
      </c>
      <c r="S189" s="69" t="s">
        <v>1110</v>
      </c>
      <c r="T189" s="69" t="s">
        <v>1110</v>
      </c>
      <c r="U189" t="str">
        <f t="shared" si="9"/>
        <v>XDS St. Christopher Dollar</v>
      </c>
      <c r="W189" s="156" t="s">
        <v>1443</v>
      </c>
      <c r="X189" s="157">
        <v>116</v>
      </c>
      <c r="Y189" s="157">
        <v>1</v>
      </c>
    </row>
    <row r="190" spans="1:25" ht="89.25">
      <c r="A190" s="2">
        <v>180</v>
      </c>
      <c r="B190" s="46" t="s">
        <v>281</v>
      </c>
      <c r="C190" s="33" t="s">
        <v>152</v>
      </c>
      <c r="D190" s="30"/>
      <c r="F190" s="30"/>
      <c r="G190" s="30"/>
      <c r="H190" s="30"/>
      <c r="I190" s="30"/>
      <c r="R190" s="69" t="s">
        <v>1111</v>
      </c>
      <c r="S190" s="69" t="s">
        <v>1112</v>
      </c>
      <c r="T190" s="69" t="s">
        <v>1113</v>
      </c>
      <c r="U190" t="str">
        <f t="shared" si="9"/>
        <v>XEU European Currency Unit (E.C.U.)</v>
      </c>
      <c r="W190" s="158" t="s">
        <v>1444</v>
      </c>
      <c r="X190" s="159">
        <v>157</v>
      </c>
      <c r="Y190" s="159">
        <v>100</v>
      </c>
    </row>
    <row r="191" spans="1:25">
      <c r="A191" s="2">
        <v>181</v>
      </c>
      <c r="B191" t="s">
        <v>282</v>
      </c>
      <c r="C191" s="30" t="s">
        <v>157</v>
      </c>
      <c r="D191" s="30"/>
      <c r="F191" s="35"/>
      <c r="G191" s="30"/>
      <c r="H191" s="30"/>
      <c r="I191" s="30"/>
      <c r="R191" s="69" t="s">
        <v>1114</v>
      </c>
      <c r="S191" s="69" t="s">
        <v>1115</v>
      </c>
      <c r="T191" s="69" t="s">
        <v>1116</v>
      </c>
      <c r="U191" t="str">
        <f t="shared" si="9"/>
        <v>XOF Benin CFA Franc BCEAO</v>
      </c>
    </row>
    <row r="192" spans="1:25" ht="25.5">
      <c r="A192" s="2">
        <v>182</v>
      </c>
      <c r="B192" s="7" t="s">
        <v>283</v>
      </c>
      <c r="C192" s="33" t="s">
        <v>1452</v>
      </c>
      <c r="D192" s="30"/>
      <c r="F192" s="35"/>
      <c r="G192" s="30"/>
      <c r="H192" s="30"/>
      <c r="I192" s="30"/>
      <c r="R192" s="69" t="s">
        <v>1117</v>
      </c>
      <c r="S192" s="69" t="s">
        <v>1118</v>
      </c>
      <c r="T192" s="69" t="s">
        <v>1118</v>
      </c>
      <c r="U192" t="str">
        <f t="shared" si="9"/>
        <v>XPF CFP Franc</v>
      </c>
    </row>
    <row r="193" spans="1:21">
      <c r="A193" s="2">
        <v>183</v>
      </c>
      <c r="B193" t="s">
        <v>284</v>
      </c>
      <c r="C193" s="30" t="s">
        <v>153</v>
      </c>
      <c r="D193" s="30"/>
      <c r="G193" s="30"/>
      <c r="H193" s="30"/>
      <c r="I193" s="30"/>
      <c r="R193" s="69" t="s">
        <v>1119</v>
      </c>
      <c r="S193" s="69" t="s">
        <v>591</v>
      </c>
      <c r="T193" s="69" t="s">
        <v>1120</v>
      </c>
      <c r="U193" t="str">
        <f t="shared" si="9"/>
        <v>YEE Special currency EUR (Russia)</v>
      </c>
    </row>
    <row r="194" spans="1:21">
      <c r="A194" s="2">
        <v>184</v>
      </c>
      <c r="B194" s="46" t="s">
        <v>285</v>
      </c>
      <c r="C194" t="s">
        <v>154</v>
      </c>
      <c r="R194" s="69" t="s">
        <v>1121</v>
      </c>
      <c r="S194" s="69" t="s">
        <v>1122</v>
      </c>
      <c r="T194" s="69" t="s">
        <v>1123</v>
      </c>
      <c r="U194" t="str">
        <f t="shared" si="9"/>
        <v>YER Yemeni Ryal</v>
      </c>
    </row>
    <row r="195" spans="1:21">
      <c r="A195" s="2">
        <v>185</v>
      </c>
      <c r="B195" t="s">
        <v>1586</v>
      </c>
      <c r="C195" t="s">
        <v>1585</v>
      </c>
      <c r="R195" s="69" t="s">
        <v>1124</v>
      </c>
      <c r="S195" s="69" t="s">
        <v>591</v>
      </c>
      <c r="T195" s="69" t="s">
        <v>1125</v>
      </c>
      <c r="U195" t="str">
        <f t="shared" si="9"/>
        <v>YEU Special currency USD (Russia)</v>
      </c>
    </row>
    <row r="196" spans="1:21">
      <c r="A196" s="2">
        <v>186</v>
      </c>
      <c r="B196" s="46" t="s">
        <v>286</v>
      </c>
      <c r="C196" s="1" t="s">
        <v>168</v>
      </c>
      <c r="R196" s="69" t="s">
        <v>1126</v>
      </c>
      <c r="S196" s="69" t="s">
        <v>1127</v>
      </c>
      <c r="T196" s="69" t="s">
        <v>1128</v>
      </c>
      <c r="U196" t="str">
        <f t="shared" si="9"/>
        <v>YUM New Yugoslavian Dinar</v>
      </c>
    </row>
    <row r="197" spans="1:21">
      <c r="A197" s="2">
        <v>187</v>
      </c>
      <c r="B197" t="s">
        <v>287</v>
      </c>
      <c r="C197" s="1" t="s">
        <v>169</v>
      </c>
      <c r="R197" s="69" t="s">
        <v>1129</v>
      </c>
      <c r="S197" s="69" t="s">
        <v>1130</v>
      </c>
      <c r="T197" s="69" t="s">
        <v>1131</v>
      </c>
      <c r="U197" t="str">
        <f t="shared" si="9"/>
        <v>ZAR South African Rand</v>
      </c>
    </row>
    <row r="198" spans="1:21">
      <c r="A198" s="2">
        <v>188</v>
      </c>
      <c r="B198" s="46" t="s">
        <v>288</v>
      </c>
      <c r="C198" t="s">
        <v>170</v>
      </c>
      <c r="R198" s="69" t="s">
        <v>1132</v>
      </c>
      <c r="S198" s="69" t="s">
        <v>1133</v>
      </c>
      <c r="T198" s="69" t="s">
        <v>1134</v>
      </c>
      <c r="U198" t="str">
        <f t="shared" si="9"/>
        <v>ZMK Zambian Kwacha</v>
      </c>
    </row>
    <row r="199" spans="1:21">
      <c r="A199" s="2">
        <v>189</v>
      </c>
      <c r="B199" t="s">
        <v>289</v>
      </c>
      <c r="C199" t="s">
        <v>171</v>
      </c>
      <c r="R199" s="69" t="s">
        <v>1135</v>
      </c>
      <c r="S199" s="69" t="s">
        <v>1136</v>
      </c>
      <c r="T199" s="69" t="s">
        <v>1136</v>
      </c>
      <c r="U199" t="str">
        <f t="shared" si="9"/>
        <v>ZRN Zaire</v>
      </c>
    </row>
    <row r="200" spans="1:21">
      <c r="A200" s="2">
        <v>190</v>
      </c>
      <c r="B200" s="1" t="s">
        <v>217</v>
      </c>
      <c r="C200" s="1" t="s">
        <v>216</v>
      </c>
      <c r="R200" s="69" t="s">
        <v>1137</v>
      </c>
      <c r="S200" s="69" t="s">
        <v>1138</v>
      </c>
      <c r="T200" s="69" t="s">
        <v>1139</v>
      </c>
      <c r="U200" t="str">
        <f t="shared" si="9"/>
        <v>ZWD Zimbabwean Dollar</v>
      </c>
    </row>
    <row r="201" spans="1:21">
      <c r="A201" s="2">
        <v>191</v>
      </c>
      <c r="B201" s="1" t="s">
        <v>1536</v>
      </c>
      <c r="C201" s="1" t="s">
        <v>1537</v>
      </c>
    </row>
    <row r="202" spans="1:21">
      <c r="A202" s="2">
        <v>192</v>
      </c>
      <c r="B202" s="1" t="s">
        <v>183</v>
      </c>
      <c r="C202" s="1" t="s">
        <v>180</v>
      </c>
    </row>
    <row r="203" spans="1:21">
      <c r="A203" s="2">
        <v>193</v>
      </c>
      <c r="B203" s="1" t="s">
        <v>184</v>
      </c>
      <c r="C203" s="1" t="s">
        <v>181</v>
      </c>
    </row>
    <row r="204" spans="1:21">
      <c r="A204" s="2">
        <v>194</v>
      </c>
      <c r="B204" s="1" t="s">
        <v>185</v>
      </c>
      <c r="C204" s="1" t="s">
        <v>182</v>
      </c>
    </row>
    <row r="205" spans="1:21">
      <c r="A205" s="2">
        <v>195</v>
      </c>
      <c r="B205" s="1" t="s">
        <v>328</v>
      </c>
      <c r="C205" s="1" t="s">
        <v>327</v>
      </c>
    </row>
    <row r="206" spans="1:21">
      <c r="A206" s="2">
        <v>196</v>
      </c>
      <c r="B206" s="1" t="s">
        <v>542</v>
      </c>
      <c r="C206" s="1" t="s">
        <v>541</v>
      </c>
    </row>
    <row r="207" spans="1:21">
      <c r="A207" s="2">
        <v>197</v>
      </c>
      <c r="B207" s="1" t="s">
        <v>330</v>
      </c>
      <c r="C207" t="s">
        <v>329</v>
      </c>
    </row>
    <row r="208" spans="1:21">
      <c r="A208" s="2">
        <v>198</v>
      </c>
      <c r="B208" s="1" t="s">
        <v>569</v>
      </c>
      <c r="C208" s="1" t="s">
        <v>570</v>
      </c>
    </row>
    <row r="209" spans="1:3">
      <c r="A209" s="2">
        <v>199</v>
      </c>
      <c r="B209" s="1" t="s">
        <v>1544</v>
      </c>
      <c r="C209" s="1" t="s">
        <v>1545</v>
      </c>
    </row>
    <row r="210" spans="1:3">
      <c r="A210" s="2">
        <v>200</v>
      </c>
      <c r="B210" s="1" t="s">
        <v>1542</v>
      </c>
      <c r="C210" s="1" t="s">
        <v>1543</v>
      </c>
    </row>
    <row r="211" spans="1:3">
      <c r="A211" s="2">
        <v>201</v>
      </c>
      <c r="B211" s="1" t="s">
        <v>332</v>
      </c>
      <c r="C211" t="s">
        <v>331</v>
      </c>
    </row>
    <row r="212" spans="1:3">
      <c r="A212" s="2">
        <v>202</v>
      </c>
      <c r="B212" s="1" t="s">
        <v>551</v>
      </c>
      <c r="C212" s="1" t="s">
        <v>553</v>
      </c>
    </row>
    <row r="213" spans="1:3">
      <c r="A213" s="2">
        <v>203</v>
      </c>
      <c r="B213" t="s">
        <v>333</v>
      </c>
      <c r="C213" t="s">
        <v>228</v>
      </c>
    </row>
    <row r="214" spans="1:3">
      <c r="A214" s="2">
        <v>204</v>
      </c>
      <c r="B214" t="s">
        <v>335</v>
      </c>
      <c r="C214" t="s">
        <v>335</v>
      </c>
    </row>
    <row r="215" spans="1:3">
      <c r="A215" s="2">
        <v>205</v>
      </c>
      <c r="B215" s="1" t="s">
        <v>521</v>
      </c>
      <c r="C215" s="1" t="s">
        <v>520</v>
      </c>
    </row>
    <row r="216" spans="1:3">
      <c r="A216" s="2">
        <v>206</v>
      </c>
      <c r="B216" s="1" t="s">
        <v>548</v>
      </c>
      <c r="C216" s="1" t="s">
        <v>549</v>
      </c>
    </row>
    <row r="217" spans="1:3">
      <c r="A217" s="2">
        <v>207</v>
      </c>
      <c r="B217" s="1" t="s">
        <v>1608</v>
      </c>
      <c r="C217" s="1" t="s">
        <v>1609</v>
      </c>
    </row>
    <row r="218" spans="1:3">
      <c r="A218" s="2">
        <v>208</v>
      </c>
      <c r="B218" s="1" t="s">
        <v>523</v>
      </c>
      <c r="C218" s="1" t="s">
        <v>522</v>
      </c>
    </row>
    <row r="219" spans="1:3">
      <c r="A219" s="2">
        <v>209</v>
      </c>
      <c r="B219" s="1" t="s">
        <v>525</v>
      </c>
      <c r="C219" s="1" t="s">
        <v>524</v>
      </c>
    </row>
    <row r="220" spans="1:3">
      <c r="A220" s="2">
        <v>210</v>
      </c>
      <c r="B220" s="1" t="s">
        <v>1494</v>
      </c>
      <c r="C220" s="1" t="s">
        <v>1520</v>
      </c>
    </row>
    <row r="221" spans="1:3">
      <c r="A221" s="2">
        <v>211</v>
      </c>
      <c r="B221" s="1" t="s">
        <v>527</v>
      </c>
      <c r="C221" t="s">
        <v>526</v>
      </c>
    </row>
    <row r="222" spans="1:3">
      <c r="A222" s="2">
        <v>212</v>
      </c>
      <c r="B222" s="1" t="s">
        <v>1449</v>
      </c>
      <c r="C222" s="1" t="s">
        <v>1450</v>
      </c>
    </row>
    <row r="223" spans="1:3">
      <c r="A223" s="2">
        <v>213</v>
      </c>
      <c r="B223" s="1" t="s">
        <v>530</v>
      </c>
      <c r="C223" s="1" t="s">
        <v>531</v>
      </c>
    </row>
    <row r="224" spans="1:3">
      <c r="A224" s="2">
        <v>214</v>
      </c>
      <c r="B224" s="1" t="s">
        <v>529</v>
      </c>
      <c r="C224" s="1" t="s">
        <v>528</v>
      </c>
    </row>
    <row r="225" spans="1:3">
      <c r="A225" s="2">
        <v>215</v>
      </c>
      <c r="B225" s="1" t="s">
        <v>533</v>
      </c>
      <c r="C225" s="1" t="s">
        <v>532</v>
      </c>
    </row>
    <row r="226" spans="1:3">
      <c r="A226" s="2">
        <v>216</v>
      </c>
      <c r="B226" s="1" t="s">
        <v>1610</v>
      </c>
      <c r="C226" s="1" t="s">
        <v>1611</v>
      </c>
    </row>
    <row r="227" spans="1:3">
      <c r="A227" s="2">
        <v>217</v>
      </c>
      <c r="B227" s="1" t="s">
        <v>1617</v>
      </c>
      <c r="C227" s="1" t="s">
        <v>1618</v>
      </c>
    </row>
    <row r="228" spans="1:3">
      <c r="A228" s="2">
        <v>218</v>
      </c>
      <c r="B228" s="1" t="s">
        <v>534</v>
      </c>
      <c r="C228" t="s">
        <v>519</v>
      </c>
    </row>
    <row r="229" spans="1:3">
      <c r="A229" s="2">
        <v>219</v>
      </c>
      <c r="B229" s="1" t="s">
        <v>1487</v>
      </c>
      <c r="C229" s="1" t="s">
        <v>1487</v>
      </c>
    </row>
    <row r="230" spans="1:3">
      <c r="A230" s="2">
        <v>220</v>
      </c>
      <c r="B230" s="1" t="s">
        <v>1492</v>
      </c>
      <c r="C230" s="1" t="s">
        <v>1493</v>
      </c>
    </row>
    <row r="231" spans="1:3">
      <c r="A231" s="2">
        <v>221</v>
      </c>
      <c r="B231" s="1" t="s">
        <v>536</v>
      </c>
      <c r="C231" s="1" t="s">
        <v>535</v>
      </c>
    </row>
    <row r="232" spans="1:3">
      <c r="A232" s="2">
        <v>222</v>
      </c>
      <c r="B232" s="1" t="s">
        <v>537</v>
      </c>
      <c r="C232" s="1" t="s">
        <v>538</v>
      </c>
    </row>
    <row r="233" spans="1:3">
      <c r="A233" s="2">
        <v>223</v>
      </c>
      <c r="B233" s="1" t="s">
        <v>539</v>
      </c>
      <c r="C233" s="1" t="s">
        <v>229</v>
      </c>
    </row>
    <row r="234" spans="1:3">
      <c r="A234" s="2">
        <v>224</v>
      </c>
      <c r="B234" s="1" t="s">
        <v>540</v>
      </c>
      <c r="C234" t="s">
        <v>230</v>
      </c>
    </row>
    <row r="235" spans="1:3" ht="25.5">
      <c r="A235" s="2">
        <v>225</v>
      </c>
      <c r="B235" s="8" t="s">
        <v>1660</v>
      </c>
      <c r="C235" s="5" t="s">
        <v>1656</v>
      </c>
    </row>
    <row r="236" spans="1:3">
      <c r="A236" s="2">
        <v>226</v>
      </c>
      <c r="B236" s="1" t="s">
        <v>1155</v>
      </c>
      <c r="C236" s="1" t="s">
        <v>1156</v>
      </c>
    </row>
    <row r="237" spans="1:3">
      <c r="A237" s="2">
        <v>227</v>
      </c>
      <c r="B237" s="1" t="s">
        <v>545</v>
      </c>
      <c r="C237" s="1" t="s">
        <v>544</v>
      </c>
    </row>
    <row r="238" spans="1:3">
      <c r="A238" s="2">
        <v>228</v>
      </c>
      <c r="B238" s="1" t="s">
        <v>1619</v>
      </c>
      <c r="C238" s="1" t="s">
        <v>1620</v>
      </c>
    </row>
    <row r="239" spans="1:3">
      <c r="A239" s="2">
        <v>229</v>
      </c>
      <c r="B239" s="1" t="s">
        <v>552</v>
      </c>
      <c r="C239" s="1" t="s">
        <v>554</v>
      </c>
    </row>
    <row r="240" spans="1:3">
      <c r="A240" s="2">
        <v>230</v>
      </c>
      <c r="B240" s="1" t="s">
        <v>556</v>
      </c>
      <c r="C240" s="1" t="s">
        <v>555</v>
      </c>
    </row>
    <row r="241" spans="1:3">
      <c r="A241" s="2">
        <v>231</v>
      </c>
      <c r="B241" s="1" t="s">
        <v>566</v>
      </c>
      <c r="C241" s="1" t="s">
        <v>565</v>
      </c>
    </row>
    <row r="242" spans="1:3">
      <c r="A242" s="2">
        <v>232</v>
      </c>
      <c r="B242" s="1" t="s">
        <v>560</v>
      </c>
      <c r="C242" s="1" t="s">
        <v>557</v>
      </c>
    </row>
    <row r="243" spans="1:3">
      <c r="A243" s="2">
        <v>233</v>
      </c>
      <c r="B243" s="1" t="s">
        <v>561</v>
      </c>
      <c r="C243" s="1" t="s">
        <v>558</v>
      </c>
    </row>
    <row r="244" spans="1:3">
      <c r="A244" s="2">
        <v>234</v>
      </c>
      <c r="B244" s="1" t="s">
        <v>562</v>
      </c>
      <c r="C244" s="1" t="s">
        <v>559</v>
      </c>
    </row>
    <row r="245" spans="1:3">
      <c r="A245" s="2">
        <v>235</v>
      </c>
      <c r="B245" s="1" t="s">
        <v>568</v>
      </c>
      <c r="C245" t="s">
        <v>567</v>
      </c>
    </row>
    <row r="246" spans="1:3">
      <c r="A246" s="2">
        <v>236</v>
      </c>
      <c r="B246" s="1" t="s">
        <v>564</v>
      </c>
      <c r="C246" s="1" t="s">
        <v>231</v>
      </c>
    </row>
    <row r="247" spans="1:3">
      <c r="A247" s="2">
        <v>237</v>
      </c>
      <c r="B247" s="1" t="s">
        <v>572</v>
      </c>
      <c r="C247" s="1" t="s">
        <v>571</v>
      </c>
    </row>
    <row r="248" spans="1:3">
      <c r="A248" s="2">
        <v>238</v>
      </c>
      <c r="B248" s="1" t="s">
        <v>574</v>
      </c>
      <c r="C248" s="1" t="s">
        <v>573</v>
      </c>
    </row>
    <row r="249" spans="1:3">
      <c r="A249" s="2">
        <v>239</v>
      </c>
      <c r="B249" s="1" t="s">
        <v>584</v>
      </c>
      <c r="C249" s="1" t="s">
        <v>585</v>
      </c>
    </row>
    <row r="250" spans="1:3">
      <c r="A250" s="2">
        <v>240</v>
      </c>
      <c r="B250" s="1" t="s">
        <v>576</v>
      </c>
      <c r="C250" s="1" t="s">
        <v>575</v>
      </c>
    </row>
    <row r="251" spans="1:3" ht="25.5">
      <c r="A251" s="2">
        <v>241</v>
      </c>
      <c r="B251" s="5" t="s">
        <v>1546</v>
      </c>
      <c r="C251" s="5" t="s">
        <v>583</v>
      </c>
    </row>
    <row r="252" spans="1:3">
      <c r="A252" s="2">
        <v>242</v>
      </c>
      <c r="B252" s="1" t="s">
        <v>578</v>
      </c>
      <c r="C252" s="1" t="s">
        <v>577</v>
      </c>
    </row>
    <row r="253" spans="1:3">
      <c r="A253" s="2">
        <v>243</v>
      </c>
      <c r="B253" s="1" t="s">
        <v>581</v>
      </c>
      <c r="C253" s="1" t="s">
        <v>579</v>
      </c>
    </row>
    <row r="254" spans="1:3">
      <c r="A254" s="2">
        <v>244</v>
      </c>
      <c r="B254" s="1" t="s">
        <v>582</v>
      </c>
      <c r="C254" s="1" t="s">
        <v>580</v>
      </c>
    </row>
    <row r="255" spans="1:3">
      <c r="A255" s="2">
        <v>245</v>
      </c>
      <c r="B255" s="1" t="s">
        <v>1668</v>
      </c>
      <c r="C255" s="1" t="s">
        <v>1669</v>
      </c>
    </row>
    <row r="256" spans="1:3">
      <c r="A256" s="2">
        <v>246</v>
      </c>
      <c r="B256" s="1" t="s">
        <v>589</v>
      </c>
      <c r="C256" s="1" t="s">
        <v>588</v>
      </c>
    </row>
    <row r="257" spans="1:3">
      <c r="A257" s="2">
        <v>247</v>
      </c>
      <c r="B257" s="1" t="s">
        <v>1171</v>
      </c>
      <c r="C257" s="1" t="s">
        <v>1170</v>
      </c>
    </row>
    <row r="258" spans="1:3">
      <c r="A258" s="2">
        <v>248</v>
      </c>
      <c r="B258" s="1" t="s">
        <v>1670</v>
      </c>
      <c r="C258" s="1" t="s">
        <v>1671</v>
      </c>
    </row>
    <row r="259" spans="1:3">
      <c r="A259" s="2">
        <v>249</v>
      </c>
      <c r="B259" s="1" t="s">
        <v>1202</v>
      </c>
      <c r="C259" s="1" t="s">
        <v>1199</v>
      </c>
    </row>
    <row r="260" spans="1:3">
      <c r="A260" s="2">
        <v>250</v>
      </c>
      <c r="B260" s="1" t="s">
        <v>1203</v>
      </c>
      <c r="C260" s="1" t="s">
        <v>1204</v>
      </c>
    </row>
    <row r="261" spans="1:3">
      <c r="A261" s="2">
        <v>251</v>
      </c>
      <c r="B261" s="1" t="s">
        <v>1205</v>
      </c>
      <c r="C261" s="1" t="s">
        <v>1206</v>
      </c>
    </row>
    <row r="262" spans="1:3">
      <c r="A262" s="2">
        <v>252</v>
      </c>
      <c r="B262" s="1" t="s">
        <v>1207</v>
      </c>
      <c r="C262" s="1" t="s">
        <v>1208</v>
      </c>
    </row>
    <row r="263" spans="1:3">
      <c r="A263" s="2">
        <v>253</v>
      </c>
      <c r="B263" s="1" t="s">
        <v>1226</v>
      </c>
      <c r="C263" s="1" t="s">
        <v>1227</v>
      </c>
    </row>
    <row r="264" spans="1:3">
      <c r="A264" s="2">
        <v>254</v>
      </c>
      <c r="B264" s="1" t="s">
        <v>1247</v>
      </c>
      <c r="C264" s="1" t="s">
        <v>1250</v>
      </c>
    </row>
    <row r="265" spans="1:3">
      <c r="A265" s="2">
        <v>255</v>
      </c>
      <c r="B265" s="1" t="s">
        <v>1217</v>
      </c>
      <c r="C265" s="1" t="s">
        <v>1218</v>
      </c>
    </row>
    <row r="266" spans="1:3">
      <c r="A266" s="2">
        <v>256</v>
      </c>
      <c r="B266" s="1" t="s">
        <v>1254</v>
      </c>
      <c r="C266" s="1" t="s">
        <v>1251</v>
      </c>
    </row>
    <row r="267" spans="1:3">
      <c r="A267" s="2">
        <v>257</v>
      </c>
      <c r="B267" t="s">
        <v>1221</v>
      </c>
      <c r="C267" t="s">
        <v>1220</v>
      </c>
    </row>
    <row r="268" spans="1:3" ht="25.5">
      <c r="A268" s="2">
        <v>258</v>
      </c>
      <c r="B268" s="5" t="s">
        <v>1488</v>
      </c>
      <c r="C268" s="15" t="s">
        <v>1489</v>
      </c>
    </row>
    <row r="269" spans="1:3" ht="25.5">
      <c r="A269" s="2">
        <v>259</v>
      </c>
      <c r="B269" s="17" t="s">
        <v>1222</v>
      </c>
      <c r="C269" s="15" t="s">
        <v>1223</v>
      </c>
    </row>
    <row r="270" spans="1:3">
      <c r="A270" s="2">
        <v>260</v>
      </c>
      <c r="B270" t="s">
        <v>1224</v>
      </c>
      <c r="C270" s="15" t="s">
        <v>1225</v>
      </c>
    </row>
    <row r="271" spans="1:3">
      <c r="A271" s="2">
        <v>261</v>
      </c>
      <c r="B271" s="1" t="s">
        <v>1264</v>
      </c>
      <c r="C271" s="15" t="s">
        <v>1265</v>
      </c>
    </row>
    <row r="272" spans="1:3">
      <c r="A272" s="2">
        <v>262</v>
      </c>
      <c r="B272" s="1" t="s">
        <v>1256</v>
      </c>
      <c r="C272" s="15" t="s">
        <v>1255</v>
      </c>
    </row>
    <row r="273" spans="1:3">
      <c r="A273" s="2">
        <v>263</v>
      </c>
      <c r="B273" s="1" t="s">
        <v>1652</v>
      </c>
      <c r="C273" t="s">
        <v>1651</v>
      </c>
    </row>
    <row r="274" spans="1:3">
      <c r="A274" s="2">
        <v>264</v>
      </c>
      <c r="B274" s="1" t="s">
        <v>1257</v>
      </c>
      <c r="C274" s="1" t="s">
        <v>1258</v>
      </c>
    </row>
    <row r="275" spans="1:3">
      <c r="A275" s="2">
        <v>265</v>
      </c>
      <c r="B275" s="1" t="s">
        <v>1445</v>
      </c>
      <c r="C275" s="15" t="s">
        <v>1446</v>
      </c>
    </row>
    <row r="276" spans="1:3">
      <c r="A276" s="2">
        <v>266</v>
      </c>
      <c r="B276" s="1" t="s">
        <v>1454</v>
      </c>
      <c r="C276" s="15" t="s">
        <v>1453</v>
      </c>
    </row>
    <row r="277" spans="1:3">
      <c r="A277" s="2">
        <v>267</v>
      </c>
      <c r="B277" s="1" t="s">
        <v>1697</v>
      </c>
      <c r="C277" s="1" t="s">
        <v>1697</v>
      </c>
    </row>
    <row r="278" spans="1:3">
      <c r="A278" s="2">
        <v>268</v>
      </c>
      <c r="B278" s="1" t="s">
        <v>1231</v>
      </c>
      <c r="C278" s="1" t="s">
        <v>1233</v>
      </c>
    </row>
    <row r="279" spans="1:3">
      <c r="A279" s="2">
        <v>269</v>
      </c>
      <c r="B279" s="1" t="s">
        <v>1232</v>
      </c>
      <c r="C279" t="s">
        <v>1234</v>
      </c>
    </row>
    <row r="280" spans="1:3">
      <c r="A280" s="2">
        <v>270</v>
      </c>
      <c r="B280" s="1" t="s">
        <v>1242</v>
      </c>
      <c r="C280" s="1" t="s">
        <v>1243</v>
      </c>
    </row>
    <row r="281" spans="1:3">
      <c r="A281" s="2">
        <v>271</v>
      </c>
      <c r="B281" s="1" t="s">
        <v>1448</v>
      </c>
      <c r="C281" s="101" t="s">
        <v>1447</v>
      </c>
    </row>
    <row r="282" spans="1:3">
      <c r="A282" s="2">
        <v>272</v>
      </c>
      <c r="B282" s="1" t="s">
        <v>1465</v>
      </c>
      <c r="C282" s="102" t="s">
        <v>1464</v>
      </c>
    </row>
    <row r="283" spans="1:3">
      <c r="A283" s="2">
        <v>273</v>
      </c>
      <c r="B283" s="1" t="s">
        <v>1615</v>
      </c>
      <c r="C283" s="101" t="s">
        <v>1616</v>
      </c>
    </row>
    <row r="284" spans="1:3">
      <c r="A284" s="2">
        <v>274</v>
      </c>
      <c r="B284" s="1" t="s">
        <v>1672</v>
      </c>
      <c r="C284" s="1" t="s">
        <v>1673</v>
      </c>
    </row>
    <row r="285" spans="1:3">
      <c r="A285" s="2">
        <v>275</v>
      </c>
      <c r="B285" s="1" t="s">
        <v>1460</v>
      </c>
      <c r="C285" s="1" t="s">
        <v>1459</v>
      </c>
    </row>
    <row r="286" spans="1:3">
      <c r="A286" s="2">
        <v>276</v>
      </c>
      <c r="B286" s="1" t="s">
        <v>1461</v>
      </c>
      <c r="C286" s="1" t="s">
        <v>1667</v>
      </c>
    </row>
    <row r="287" spans="1:3">
      <c r="A287" s="2">
        <v>277</v>
      </c>
      <c r="B287" s="1" t="s">
        <v>1462</v>
      </c>
      <c r="C287" s="1" t="s">
        <v>1463</v>
      </c>
    </row>
    <row r="288" spans="1:3">
      <c r="A288" s="2">
        <v>278</v>
      </c>
      <c r="B288" s="14" t="s">
        <v>1523</v>
      </c>
      <c r="C288" s="1" t="s">
        <v>1521</v>
      </c>
    </row>
    <row r="289" spans="1:3">
      <c r="A289" s="2">
        <v>279</v>
      </c>
      <c r="B289" s="1" t="s">
        <v>1491</v>
      </c>
      <c r="C289" s="15" t="s">
        <v>1490</v>
      </c>
    </row>
    <row r="290" spans="1:3">
      <c r="A290" s="2">
        <v>280</v>
      </c>
      <c r="B290" s="1" t="s">
        <v>1495</v>
      </c>
      <c r="C290" s="1" t="s">
        <v>1498</v>
      </c>
    </row>
    <row r="291" spans="1:3">
      <c r="A291" s="2">
        <v>281</v>
      </c>
      <c r="B291" s="1" t="s">
        <v>1496</v>
      </c>
      <c r="C291" t="s">
        <v>1499</v>
      </c>
    </row>
    <row r="292" spans="1:3">
      <c r="A292" s="2">
        <v>282</v>
      </c>
      <c r="B292" s="1" t="s">
        <v>1497</v>
      </c>
      <c r="C292" t="s">
        <v>1500</v>
      </c>
    </row>
    <row r="293" spans="1:3">
      <c r="A293" s="2">
        <v>283</v>
      </c>
      <c r="B293" t="s">
        <v>1516</v>
      </c>
      <c r="C293" t="s">
        <v>1517</v>
      </c>
    </row>
    <row r="294" spans="1:3">
      <c r="A294" s="2">
        <v>284</v>
      </c>
      <c r="B294" t="s">
        <v>1519</v>
      </c>
      <c r="C294" t="s">
        <v>1509</v>
      </c>
    </row>
    <row r="295" spans="1:3">
      <c r="A295" s="2">
        <v>285</v>
      </c>
      <c r="B295" t="s">
        <v>1524</v>
      </c>
      <c r="C295" t="s">
        <v>1525</v>
      </c>
    </row>
    <row r="296" spans="1:3" ht="51">
      <c r="A296" s="2">
        <v>286</v>
      </c>
      <c r="B296" s="17" t="s">
        <v>1514</v>
      </c>
      <c r="C296" s="17" t="s">
        <v>1515</v>
      </c>
    </row>
    <row r="297" spans="1:3" ht="25.5">
      <c r="A297" s="2">
        <v>287</v>
      </c>
      <c r="B297" s="5" t="s">
        <v>1535</v>
      </c>
      <c r="C297" s="5" t="s">
        <v>1534</v>
      </c>
    </row>
    <row r="298" spans="1:3">
      <c r="A298" s="2">
        <v>288</v>
      </c>
      <c r="B298" s="1" t="s">
        <v>1579</v>
      </c>
      <c r="C298" s="1" t="s">
        <v>1580</v>
      </c>
    </row>
    <row r="299" spans="1:3">
      <c r="A299" s="2">
        <v>289</v>
      </c>
      <c r="B299" s="1" t="s">
        <v>1591</v>
      </c>
      <c r="C299" s="1" t="s">
        <v>1588</v>
      </c>
    </row>
    <row r="300" spans="1:3">
      <c r="A300" s="2">
        <v>290</v>
      </c>
      <c r="B300" s="1" t="s">
        <v>1590</v>
      </c>
      <c r="C300" s="1" t="s">
        <v>1589</v>
      </c>
    </row>
    <row r="301" spans="1:3">
      <c r="A301" s="2">
        <v>291</v>
      </c>
      <c r="B301" s="1" t="s">
        <v>1597</v>
      </c>
      <c r="C301" s="1" t="s">
        <v>1598</v>
      </c>
    </row>
    <row r="302" spans="1:3">
      <c r="A302" s="2">
        <v>292</v>
      </c>
      <c r="B302" s="1" t="s">
        <v>1595</v>
      </c>
      <c r="C302" s="1" t="s">
        <v>1594</v>
      </c>
    </row>
    <row r="303" spans="1:3">
      <c r="A303" s="2">
        <v>293</v>
      </c>
      <c r="B303" s="1" t="s">
        <v>1601</v>
      </c>
      <c r="C303" s="1" t="s">
        <v>1602</v>
      </c>
    </row>
    <row r="304" spans="1:3">
      <c r="A304" s="2">
        <v>294</v>
      </c>
      <c r="B304" s="1" t="s">
        <v>1704</v>
      </c>
      <c r="C304" s="1" t="s">
        <v>1705</v>
      </c>
    </row>
    <row r="305" spans="1:3">
      <c r="A305" s="2">
        <v>295</v>
      </c>
      <c r="B305" s="1" t="s">
        <v>1662</v>
      </c>
      <c r="C305" s="1" t="s">
        <v>1663</v>
      </c>
    </row>
    <row r="306" spans="1:3">
      <c r="A306" s="2">
        <v>296</v>
      </c>
      <c r="B306" s="1" t="s">
        <v>1677</v>
      </c>
      <c r="C306" s="1" t="s">
        <v>1678</v>
      </c>
    </row>
    <row r="307" spans="1:3">
      <c r="A307" s="2">
        <v>297</v>
      </c>
      <c r="B307" s="1" t="s">
        <v>1684</v>
      </c>
      <c r="C307" s="1" t="s">
        <v>1685</v>
      </c>
    </row>
    <row r="308" spans="1:3">
      <c r="A308" s="2">
        <v>298</v>
      </c>
      <c r="B308" s="1" t="s">
        <v>1686</v>
      </c>
      <c r="C308" s="1" t="s">
        <v>1687</v>
      </c>
    </row>
    <row r="309" spans="1:3">
      <c r="A309" s="2">
        <v>299</v>
      </c>
      <c r="B309" t="s">
        <v>1688</v>
      </c>
      <c r="C309" s="1" t="s">
        <v>1689</v>
      </c>
    </row>
    <row r="310" spans="1:3">
      <c r="A310" s="2">
        <v>300</v>
      </c>
      <c r="B310" t="s">
        <v>1690</v>
      </c>
      <c r="C310" s="1" t="s">
        <v>1691</v>
      </c>
    </row>
    <row r="311" spans="1:3">
      <c r="A311" s="2">
        <v>301</v>
      </c>
      <c r="B311" t="s">
        <v>1692</v>
      </c>
      <c r="C311" s="1" t="s">
        <v>1693</v>
      </c>
    </row>
    <row r="312" spans="1:3">
      <c r="A312" s="2">
        <v>302</v>
      </c>
      <c r="B312" t="s">
        <v>1694</v>
      </c>
      <c r="C312" s="1" t="s">
        <v>1695</v>
      </c>
    </row>
    <row r="313" spans="1:3">
      <c r="A313" s="2">
        <v>303</v>
      </c>
      <c r="B313" s="1" t="s">
        <v>1712</v>
      </c>
      <c r="C313" s="1" t="s">
        <v>1713</v>
      </c>
    </row>
    <row r="314" spans="1:3">
      <c r="A314" s="2">
        <v>304</v>
      </c>
    </row>
    <row r="315" spans="1:3">
      <c r="A315" s="2">
        <v>305</v>
      </c>
    </row>
    <row r="316" spans="1:3">
      <c r="A316" s="2">
        <v>306</v>
      </c>
    </row>
    <row r="317" spans="1:3">
      <c r="A317" s="2">
        <v>307</v>
      </c>
    </row>
    <row r="318" spans="1:3">
      <c r="A318" s="2">
        <v>308</v>
      </c>
    </row>
    <row r="319" spans="1:3">
      <c r="A319" s="2">
        <v>309</v>
      </c>
    </row>
    <row r="320" spans="1:3">
      <c r="A320" s="2">
        <v>310</v>
      </c>
    </row>
    <row r="321" spans="1:1">
      <c r="A321" s="2">
        <v>311</v>
      </c>
    </row>
    <row r="322" spans="1:1">
      <c r="A322" s="2">
        <v>312</v>
      </c>
    </row>
    <row r="323" spans="1:1">
      <c r="A323" s="2">
        <v>313</v>
      </c>
    </row>
    <row r="324" spans="1:1">
      <c r="A324" s="2">
        <v>314</v>
      </c>
    </row>
    <row r="325" spans="1:1">
      <c r="A325" s="2">
        <v>315</v>
      </c>
    </row>
    <row r="326" spans="1:1">
      <c r="A326" s="2">
        <v>316</v>
      </c>
    </row>
    <row r="327" spans="1:1">
      <c r="A327" s="2">
        <v>317</v>
      </c>
    </row>
    <row r="328" spans="1:1">
      <c r="A328" s="2">
        <v>318</v>
      </c>
    </row>
    <row r="329" spans="1:1">
      <c r="A329" s="2">
        <v>319</v>
      </c>
    </row>
    <row r="330" spans="1:1">
      <c r="A330" s="2">
        <v>320</v>
      </c>
    </row>
    <row r="331" spans="1:1">
      <c r="A331" s="2">
        <v>321</v>
      </c>
    </row>
    <row r="332" spans="1:1">
      <c r="A332" s="2">
        <v>322</v>
      </c>
    </row>
    <row r="333" spans="1:1">
      <c r="A333" s="2">
        <v>323</v>
      </c>
    </row>
    <row r="334" spans="1:1">
      <c r="A334" s="2">
        <v>324</v>
      </c>
    </row>
    <row r="335" spans="1:1">
      <c r="A335" s="2">
        <v>325</v>
      </c>
    </row>
    <row r="336" spans="1:1">
      <c r="A336" s="2">
        <v>326</v>
      </c>
    </row>
    <row r="337" spans="1:1">
      <c r="A337" s="2">
        <v>327</v>
      </c>
    </row>
    <row r="338" spans="1:1">
      <c r="A338" s="2">
        <v>328</v>
      </c>
    </row>
    <row r="339" spans="1:1">
      <c r="A339" s="2">
        <v>329</v>
      </c>
    </row>
    <row r="340" spans="1:1">
      <c r="A340" s="2">
        <v>330</v>
      </c>
    </row>
  </sheetData>
  <mergeCells count="2">
    <mergeCell ref="N6:O6"/>
    <mergeCell ref="G6:J6"/>
  </mergeCells>
  <phoneticPr fontId="39" type="noConversion"/>
  <conditionalFormatting sqref="N4">
    <cfRule type="cellIs" dxfId="5" priority="7" stopIfTrue="1" operator="equal">
      <formula>"The total number of points is not sufficient."</formula>
    </cfRule>
    <cfRule type="cellIs" dxfId="4" priority="8" stopIfTrue="1" operator="equal">
      <formula>"The total number of points is sufficient."</formula>
    </cfRule>
  </conditionalFormatting>
  <conditionalFormatting sqref="N6">
    <cfRule type="cellIs" dxfId="3" priority="1" stopIfTrue="1" operator="equal">
      <formula>HLOOKUP(Language,Translation,244)</formula>
    </cfRule>
    <cfRule type="cellIs" dxfId="2" priority="2" stopIfTrue="1" operator="equal">
      <formula>HLOOKUP(Language,Translation,243)</formula>
    </cfRule>
  </conditionalFormatting>
  <conditionalFormatting sqref="O4">
    <cfRule type="cellIs" dxfId="1" priority="5" stopIfTrue="1" operator="equal">
      <formula>"Dealbreaker"</formula>
    </cfRule>
    <cfRule type="cellIs" dxfId="0" priority="6" stopIfTrue="1" operator="equal">
      <formula>"All dealbreaker passed"</formula>
    </cfRule>
  </conditionalFormatting>
  <dataValidations disablePrompts="1" count="1">
    <dataValidation type="list" allowBlank="1" showInputMessage="1" showErrorMessage="1" sqref="F171 F188:F189 F191:F192 F180 F182 F184 F163 F165 F167 F169" xr:uid="{8054BDBE-3E40-4D09-9BF2-C7ABC7B1F1FE}">
      <formula1>$W$11:$W$14</formula1>
    </dataValidation>
  </dataValidations>
  <pageMargins left="0.7" right="0.7" top="0.78740157499999996" bottom="0.78740157499999996" header="0.3" footer="0.3"/>
  <pageSetup paperSize="9" orientation="portrait" r:id="rId1"/>
  <headerFooter>
    <oddFooter>&amp;C&amp;1#&amp;"Arial"&amp;8&amp;KA6A6A6restricted</oddFoot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9A2E8-3255-43DE-AEC9-187829DEB7E4}">
  <sheetPr>
    <pageSetUpPr fitToPage="1"/>
  </sheetPr>
  <dimension ref="A1:G228"/>
  <sheetViews>
    <sheetView workbookViewId="0">
      <pane ySplit="1" topLeftCell="A2" activePane="bottomLeft" state="frozen"/>
      <selection pane="bottomLeft" activeCell="C31" sqref="C31"/>
    </sheetView>
  </sheetViews>
  <sheetFormatPr baseColWidth="10" defaultRowHeight="12.75"/>
  <cols>
    <col min="1" max="1" width="11.85546875" style="6" bestFit="1" customWidth="1"/>
    <col min="2" max="2" width="25" style="6" bestFit="1" customWidth="1"/>
    <col min="3" max="3" width="87.28515625" style="146" customWidth="1"/>
    <col min="4" max="4" width="70" style="147" customWidth="1"/>
    <col min="5" max="5" width="17.7109375" style="6" bestFit="1" customWidth="1"/>
    <col min="6" max="6" width="13.28515625" style="6" bestFit="1" customWidth="1"/>
    <col min="7" max="16384" width="11.42578125" style="6"/>
  </cols>
  <sheetData>
    <row r="1" spans="1:6" ht="24.75" customHeight="1">
      <c r="A1" s="139" t="s">
        <v>1623</v>
      </c>
      <c r="B1" s="139" t="s">
        <v>1624</v>
      </c>
      <c r="C1" s="140" t="s">
        <v>1625</v>
      </c>
      <c r="D1" s="150" t="s">
        <v>1626</v>
      </c>
      <c r="E1" s="139" t="s">
        <v>1627</v>
      </c>
      <c r="F1" s="139" t="s">
        <v>1628</v>
      </c>
    </row>
    <row r="2" spans="1:6">
      <c r="A2" s="141" t="s">
        <v>1629</v>
      </c>
      <c r="B2" s="141" t="s">
        <v>1630</v>
      </c>
      <c r="C2" s="142" t="s">
        <v>1631</v>
      </c>
      <c r="D2" s="143">
        <v>44832</v>
      </c>
      <c r="E2" s="144" t="s">
        <v>1632</v>
      </c>
      <c r="F2" s="144" t="s">
        <v>1633</v>
      </c>
    </row>
    <row r="3" spans="1:6">
      <c r="A3" s="141" t="s">
        <v>33</v>
      </c>
      <c r="B3" s="141" t="s">
        <v>1630</v>
      </c>
      <c r="C3" s="142" t="s">
        <v>1631</v>
      </c>
      <c r="D3" s="143">
        <v>45253</v>
      </c>
      <c r="E3" s="144" t="s">
        <v>1632</v>
      </c>
      <c r="F3" s="144" t="s">
        <v>1633</v>
      </c>
    </row>
    <row r="4" spans="1:6">
      <c r="A4" s="145" t="s">
        <v>1637</v>
      </c>
      <c r="B4" s="145" t="s">
        <v>1</v>
      </c>
      <c r="C4" s="146" t="s">
        <v>1635</v>
      </c>
      <c r="E4" s="6" t="s">
        <v>1632</v>
      </c>
      <c r="F4" s="6" t="s">
        <v>1632</v>
      </c>
    </row>
    <row r="5" spans="1:6">
      <c r="A5" s="145" t="s">
        <v>1637</v>
      </c>
      <c r="B5" s="6" t="s">
        <v>1634</v>
      </c>
      <c r="C5" s="146" t="s">
        <v>1635</v>
      </c>
      <c r="E5" s="6" t="s">
        <v>1632</v>
      </c>
      <c r="F5" s="6" t="s">
        <v>1632</v>
      </c>
    </row>
    <row r="6" spans="1:6">
      <c r="A6" s="145" t="s">
        <v>1638</v>
      </c>
      <c r="B6" s="145" t="s">
        <v>315</v>
      </c>
      <c r="C6" s="146" t="s">
        <v>1640</v>
      </c>
      <c r="D6" s="147" t="s">
        <v>1641</v>
      </c>
      <c r="E6" s="6" t="s">
        <v>1642</v>
      </c>
      <c r="F6" s="6" t="s">
        <v>1632</v>
      </c>
    </row>
    <row r="7" spans="1:6">
      <c r="A7" s="145" t="s">
        <v>1639</v>
      </c>
      <c r="B7" s="145" t="s">
        <v>1634</v>
      </c>
      <c r="C7" s="146" t="s">
        <v>1643</v>
      </c>
      <c r="D7" s="147" t="s">
        <v>1644</v>
      </c>
      <c r="E7" s="6" t="s">
        <v>1645</v>
      </c>
      <c r="F7" s="6" t="s">
        <v>1632</v>
      </c>
    </row>
    <row r="8" spans="1:6">
      <c r="A8" s="145" t="s">
        <v>1639</v>
      </c>
      <c r="B8" s="145" t="s">
        <v>1</v>
      </c>
      <c r="C8" s="146" t="s">
        <v>1649</v>
      </c>
      <c r="D8" s="147" t="s">
        <v>1650</v>
      </c>
      <c r="E8" s="6" t="s">
        <v>1645</v>
      </c>
      <c r="F8" s="6" t="s">
        <v>1632</v>
      </c>
    </row>
    <row r="9" spans="1:6">
      <c r="A9" s="145" t="s">
        <v>1639</v>
      </c>
      <c r="B9" s="145" t="s">
        <v>1636</v>
      </c>
      <c r="C9" s="146" t="s">
        <v>1648</v>
      </c>
      <c r="E9" s="6" t="s">
        <v>1632</v>
      </c>
      <c r="F9" s="6" t="s">
        <v>1632</v>
      </c>
    </row>
    <row r="10" spans="1:6">
      <c r="A10" s="145" t="s">
        <v>1639</v>
      </c>
      <c r="B10" s="145" t="s">
        <v>1</v>
      </c>
      <c r="C10" s="145" t="s">
        <v>1653</v>
      </c>
      <c r="D10" s="147" t="s">
        <v>1654</v>
      </c>
      <c r="E10" s="6" t="s">
        <v>1632</v>
      </c>
      <c r="F10" s="6" t="s">
        <v>1632</v>
      </c>
    </row>
    <row r="11" spans="1:6" ht="25.5">
      <c r="A11" s="145" t="s">
        <v>1655</v>
      </c>
      <c r="B11" s="145" t="s">
        <v>1634</v>
      </c>
      <c r="C11" s="145" t="s">
        <v>1657</v>
      </c>
      <c r="D11" s="147" t="s">
        <v>1658</v>
      </c>
      <c r="E11" s="6" t="s">
        <v>1659</v>
      </c>
      <c r="F11" s="6" t="s">
        <v>1632</v>
      </c>
    </row>
    <row r="12" spans="1:6">
      <c r="A12" s="145" t="s">
        <v>1664</v>
      </c>
      <c r="B12" s="145" t="s">
        <v>1634</v>
      </c>
      <c r="C12" s="146" t="s">
        <v>1665</v>
      </c>
      <c r="D12" s="147" t="s">
        <v>1679</v>
      </c>
      <c r="E12" s="6" t="s">
        <v>1642</v>
      </c>
      <c r="F12" s="6" t="s">
        <v>1632</v>
      </c>
    </row>
    <row r="13" spans="1:6">
      <c r="A13" s="145" t="s">
        <v>1664</v>
      </c>
      <c r="B13" s="145" t="s">
        <v>1674</v>
      </c>
      <c r="C13" s="146" t="s">
        <v>1675</v>
      </c>
      <c r="D13" s="147" t="s">
        <v>1676</v>
      </c>
      <c r="E13" s="6" t="s">
        <v>1632</v>
      </c>
      <c r="F13" s="6" t="s">
        <v>1632</v>
      </c>
    </row>
    <row r="14" spans="1:6">
      <c r="A14" s="145" t="s">
        <v>1683</v>
      </c>
      <c r="B14" s="145" t="s">
        <v>1634</v>
      </c>
      <c r="C14" s="146" t="s">
        <v>1680</v>
      </c>
      <c r="D14" s="147" t="s">
        <v>1681</v>
      </c>
      <c r="E14" s="6" t="s">
        <v>1682</v>
      </c>
      <c r="F14" s="6" t="s">
        <v>1632</v>
      </c>
    </row>
    <row r="15" spans="1:6">
      <c r="A15" s="145" t="s">
        <v>1683</v>
      </c>
      <c r="B15" s="145" t="s">
        <v>1634</v>
      </c>
      <c r="C15" s="146" t="s">
        <v>1698</v>
      </c>
      <c r="D15" s="147" t="s">
        <v>1699</v>
      </c>
      <c r="E15" s="6" t="s">
        <v>1633</v>
      </c>
      <c r="F15" s="6" t="s">
        <v>1632</v>
      </c>
    </row>
    <row r="16" spans="1:6">
      <c r="A16" s="145" t="s">
        <v>1700</v>
      </c>
      <c r="B16" s="145" t="s">
        <v>1634</v>
      </c>
      <c r="C16" s="146" t="s">
        <v>1701</v>
      </c>
      <c r="D16" s="147" t="s">
        <v>1702</v>
      </c>
      <c r="E16" s="6" t="s">
        <v>1633</v>
      </c>
      <c r="F16" s="6" t="s">
        <v>1632</v>
      </c>
    </row>
    <row r="17" spans="1:6">
      <c r="A17" s="141" t="s">
        <v>34</v>
      </c>
      <c r="B17" s="141" t="s">
        <v>1630</v>
      </c>
      <c r="C17" s="142" t="s">
        <v>1631</v>
      </c>
      <c r="D17" s="143">
        <v>45015</v>
      </c>
      <c r="E17" s="144" t="s">
        <v>1632</v>
      </c>
      <c r="F17" s="144" t="s">
        <v>1633</v>
      </c>
    </row>
    <row r="18" spans="1:6">
      <c r="A18" s="151" t="s">
        <v>35</v>
      </c>
      <c r="B18" s="145" t="s">
        <v>1706</v>
      </c>
      <c r="C18" s="146" t="s">
        <v>1707</v>
      </c>
      <c r="D18" s="147" t="s">
        <v>1708</v>
      </c>
      <c r="E18" s="6" t="s">
        <v>1633</v>
      </c>
      <c r="F18" s="6" t="s">
        <v>1632</v>
      </c>
    </row>
    <row r="19" spans="1:6">
      <c r="A19" s="141" t="s">
        <v>35</v>
      </c>
      <c r="B19" s="141" t="s">
        <v>1630</v>
      </c>
      <c r="C19" s="142" t="s">
        <v>1631</v>
      </c>
      <c r="D19" s="143">
        <v>45084</v>
      </c>
      <c r="E19" s="144" t="s">
        <v>1632</v>
      </c>
      <c r="F19" s="144" t="s">
        <v>1633</v>
      </c>
    </row>
    <row r="20" spans="1:6">
      <c r="A20" s="145" t="s">
        <v>1216</v>
      </c>
      <c r="B20" s="145" t="s">
        <v>1634</v>
      </c>
      <c r="C20" s="146" t="s">
        <v>1710</v>
      </c>
      <c r="D20" s="147" t="s">
        <v>1711</v>
      </c>
      <c r="E20" s="6" t="s">
        <v>1709</v>
      </c>
      <c r="F20" s="6" t="s">
        <v>1632</v>
      </c>
    </row>
    <row r="21" spans="1:6">
      <c r="A21" s="141" t="s">
        <v>1216</v>
      </c>
      <c r="B21" s="141" t="s">
        <v>1630</v>
      </c>
      <c r="C21" s="142" t="s">
        <v>1631</v>
      </c>
      <c r="D21" s="143">
        <v>45132</v>
      </c>
      <c r="E21" s="144" t="s">
        <v>1632</v>
      </c>
      <c r="F21" s="144" t="s">
        <v>1633</v>
      </c>
    </row>
    <row r="22" spans="1:6">
      <c r="A22" s="151" t="s">
        <v>1533</v>
      </c>
      <c r="B22" s="145" t="s">
        <v>1674</v>
      </c>
      <c r="C22" s="146" t="s">
        <v>1734</v>
      </c>
      <c r="D22"/>
      <c r="E22" s="6" t="s">
        <v>1735</v>
      </c>
      <c r="F22" s="6" t="s">
        <v>1632</v>
      </c>
    </row>
    <row r="23" spans="1:6">
      <c r="A23" s="151" t="s">
        <v>1533</v>
      </c>
      <c r="B23" s="145" t="s">
        <v>315</v>
      </c>
      <c r="C23" s="146" t="s">
        <v>1721</v>
      </c>
      <c r="D23" s="1" t="s">
        <v>1722</v>
      </c>
      <c r="E23" s="6" t="s">
        <v>1632</v>
      </c>
      <c r="F23" s="6" t="s">
        <v>1632</v>
      </c>
    </row>
    <row r="24" spans="1:6">
      <c r="A24" s="151" t="s">
        <v>1533</v>
      </c>
      <c r="B24" s="145" t="s">
        <v>1634</v>
      </c>
      <c r="C24" s="146" t="s">
        <v>1723</v>
      </c>
      <c r="D24" s="1" t="s">
        <v>1724</v>
      </c>
      <c r="E24" s="6" t="s">
        <v>1633</v>
      </c>
      <c r="F24" s="6" t="s">
        <v>1632</v>
      </c>
    </row>
    <row r="25" spans="1:6">
      <c r="A25" s="141" t="s">
        <v>1533</v>
      </c>
      <c r="B25" s="141" t="s">
        <v>1630</v>
      </c>
      <c r="C25" s="142" t="s">
        <v>1631</v>
      </c>
      <c r="D25" s="143">
        <v>45229</v>
      </c>
      <c r="E25" s="144" t="s">
        <v>1632</v>
      </c>
      <c r="F25" s="144" t="s">
        <v>1633</v>
      </c>
    </row>
    <row r="26" spans="1:6">
      <c r="A26" s="145"/>
      <c r="B26" s="145"/>
    </row>
    <row r="27" spans="1:6">
      <c r="A27" s="145"/>
      <c r="B27" s="145"/>
    </row>
    <row r="28" spans="1:6">
      <c r="A28" s="145"/>
      <c r="B28" s="145"/>
    </row>
    <row r="29" spans="1:6">
      <c r="A29" s="145"/>
      <c r="B29" s="145"/>
    </row>
    <row r="30" spans="1:6">
      <c r="A30" s="145"/>
      <c r="B30" s="145"/>
    </row>
    <row r="31" spans="1:6">
      <c r="A31" s="145"/>
      <c r="B31" s="145"/>
    </row>
    <row r="32" spans="1:6">
      <c r="A32" s="145"/>
      <c r="B32" s="145"/>
    </row>
    <row r="33" spans="1:4">
      <c r="A33" s="145"/>
      <c r="B33" s="145"/>
    </row>
    <row r="34" spans="1:4">
      <c r="A34" s="145"/>
      <c r="B34" s="145"/>
    </row>
    <row r="35" spans="1:4">
      <c r="A35" s="145"/>
      <c r="B35" s="145"/>
      <c r="D35" s="146"/>
    </row>
    <row r="36" spans="1:4">
      <c r="A36" s="145"/>
      <c r="B36" s="145"/>
    </row>
    <row r="37" spans="1:4">
      <c r="A37" s="145"/>
      <c r="B37" s="145"/>
    </row>
    <row r="38" spans="1:4">
      <c r="A38" s="145"/>
      <c r="B38" s="145"/>
    </row>
    <row r="39" spans="1:4">
      <c r="A39" s="145"/>
      <c r="B39" s="145"/>
    </row>
    <row r="40" spans="1:4">
      <c r="A40" s="145"/>
      <c r="B40" s="145"/>
      <c r="D40" s="148"/>
    </row>
    <row r="41" spans="1:4">
      <c r="A41" s="145"/>
      <c r="B41" s="145"/>
    </row>
    <row r="42" spans="1:4">
      <c r="A42" s="145"/>
      <c r="B42" s="145"/>
    </row>
    <row r="43" spans="1:4">
      <c r="A43" s="145"/>
      <c r="B43" s="145"/>
    </row>
    <row r="44" spans="1:4">
      <c r="A44" s="145"/>
      <c r="B44" s="145"/>
    </row>
    <row r="45" spans="1:4">
      <c r="A45" s="145"/>
      <c r="B45" s="145"/>
    </row>
    <row r="46" spans="1:4">
      <c r="A46" s="145"/>
      <c r="B46" s="145"/>
    </row>
    <row r="47" spans="1:4">
      <c r="A47" s="145"/>
      <c r="B47" s="145"/>
      <c r="D47" s="148"/>
    </row>
    <row r="48" spans="1:4">
      <c r="A48" s="145"/>
      <c r="B48" s="145"/>
    </row>
    <row r="49" spans="1:4">
      <c r="A49" s="145"/>
      <c r="B49" s="145"/>
    </row>
    <row r="50" spans="1:4">
      <c r="A50" s="145"/>
      <c r="B50" s="145"/>
    </row>
    <row r="51" spans="1:4">
      <c r="A51" s="145"/>
      <c r="B51" s="145"/>
    </row>
    <row r="52" spans="1:4">
      <c r="A52" s="145"/>
      <c r="B52" s="145"/>
      <c r="D52" s="6"/>
    </row>
    <row r="53" spans="1:4">
      <c r="A53" s="145"/>
      <c r="B53" s="145"/>
    </row>
    <row r="54" spans="1:4">
      <c r="A54" s="145"/>
      <c r="B54" s="145"/>
    </row>
    <row r="55" spans="1:4">
      <c r="A55" s="145"/>
      <c r="B55" s="145"/>
    </row>
    <row r="56" spans="1:4">
      <c r="A56" s="145"/>
      <c r="B56" s="145"/>
    </row>
    <row r="57" spans="1:4">
      <c r="A57" s="145"/>
      <c r="B57" s="145"/>
    </row>
    <row r="58" spans="1:4">
      <c r="A58" s="145"/>
      <c r="B58" s="145"/>
    </row>
    <row r="59" spans="1:4">
      <c r="A59" s="145"/>
      <c r="B59" s="145"/>
    </row>
    <row r="60" spans="1:4">
      <c r="A60" s="145"/>
      <c r="B60" s="145"/>
    </row>
    <row r="61" spans="1:4">
      <c r="A61" s="145"/>
      <c r="B61" s="145"/>
    </row>
    <row r="62" spans="1:4">
      <c r="A62" s="145"/>
      <c r="B62" s="145"/>
    </row>
    <row r="63" spans="1:4">
      <c r="A63" s="145"/>
      <c r="B63" s="145"/>
    </row>
    <row r="64" spans="1:4">
      <c r="A64" s="145"/>
      <c r="B64" s="145"/>
    </row>
    <row r="65" spans="1:4">
      <c r="A65" s="145"/>
      <c r="B65" s="145"/>
    </row>
    <row r="66" spans="1:4">
      <c r="A66" s="145"/>
      <c r="B66" s="145"/>
    </row>
    <row r="67" spans="1:4">
      <c r="A67" s="145"/>
      <c r="B67" s="145"/>
    </row>
    <row r="68" spans="1:4">
      <c r="A68" s="145"/>
      <c r="B68" s="145"/>
    </row>
    <row r="69" spans="1:4">
      <c r="A69" s="145"/>
      <c r="B69" s="145"/>
    </row>
    <row r="70" spans="1:4">
      <c r="A70" s="145"/>
      <c r="B70" s="145"/>
    </row>
    <row r="71" spans="1:4">
      <c r="A71" s="145"/>
      <c r="B71" s="145"/>
    </row>
    <row r="72" spans="1:4">
      <c r="A72" s="145"/>
      <c r="B72" s="145"/>
      <c r="D72" s="148"/>
    </row>
    <row r="73" spans="1:4">
      <c r="A73" s="149"/>
      <c r="B73" s="145"/>
    </row>
    <row r="74" spans="1:4">
      <c r="A74" s="149"/>
      <c r="B74" s="145"/>
    </row>
    <row r="75" spans="1:4">
      <c r="A75" s="149"/>
      <c r="B75" s="145"/>
    </row>
    <row r="76" spans="1:4">
      <c r="A76" s="149"/>
      <c r="B76" s="145"/>
    </row>
    <row r="77" spans="1:4">
      <c r="A77" s="149"/>
      <c r="B77" s="145"/>
    </row>
    <row r="78" spans="1:4">
      <c r="A78" s="149"/>
      <c r="B78" s="145"/>
    </row>
    <row r="79" spans="1:4">
      <c r="A79" s="149"/>
      <c r="B79" s="145"/>
    </row>
    <row r="80" spans="1:4">
      <c r="A80" s="149"/>
      <c r="B80" s="145"/>
    </row>
    <row r="81" spans="1:4">
      <c r="A81" s="149"/>
      <c r="B81" s="145"/>
    </row>
    <row r="82" spans="1:4">
      <c r="A82" s="149"/>
      <c r="B82" s="145"/>
    </row>
    <row r="83" spans="1:4">
      <c r="A83" s="149"/>
      <c r="B83" s="145"/>
    </row>
    <row r="84" spans="1:4">
      <c r="A84" s="149"/>
      <c r="B84" s="145"/>
    </row>
    <row r="85" spans="1:4">
      <c r="A85" s="145"/>
      <c r="B85" s="145"/>
      <c r="D85" s="148"/>
    </row>
    <row r="86" spans="1:4">
      <c r="A86" s="145"/>
      <c r="B86" s="145"/>
    </row>
    <row r="87" spans="1:4">
      <c r="A87" s="145"/>
      <c r="B87" s="145"/>
    </row>
    <row r="88" spans="1:4">
      <c r="A88" s="145"/>
      <c r="B88" s="145"/>
    </row>
    <row r="89" spans="1:4">
      <c r="A89" s="145"/>
      <c r="B89" s="145"/>
    </row>
    <row r="90" spans="1:4">
      <c r="A90" s="145"/>
      <c r="B90" s="145"/>
    </row>
    <row r="91" spans="1:4">
      <c r="A91" s="145"/>
      <c r="B91" s="145"/>
      <c r="D91" s="148"/>
    </row>
    <row r="92" spans="1:4">
      <c r="A92" s="145"/>
      <c r="B92" s="145"/>
    </row>
    <row r="93" spans="1:4">
      <c r="A93" s="145"/>
      <c r="B93" s="145"/>
    </row>
    <row r="94" spans="1:4">
      <c r="A94" s="145"/>
      <c r="B94" s="145"/>
    </row>
    <row r="95" spans="1:4">
      <c r="A95" s="145"/>
      <c r="B95" s="145"/>
    </row>
    <row r="96" spans="1:4">
      <c r="A96" s="145"/>
      <c r="B96" s="145"/>
    </row>
    <row r="97" spans="1:4">
      <c r="A97" s="145"/>
      <c r="B97" s="145"/>
      <c r="D97" s="148"/>
    </row>
    <row r="98" spans="1:4">
      <c r="A98" s="145"/>
      <c r="B98" s="145"/>
    </row>
    <row r="99" spans="1:4">
      <c r="A99" s="145"/>
      <c r="B99" s="145"/>
    </row>
    <row r="100" spans="1:4">
      <c r="A100" s="145"/>
      <c r="B100" s="145"/>
      <c r="D100" s="146"/>
    </row>
    <row r="101" spans="1:4">
      <c r="A101" s="145"/>
      <c r="B101" s="145"/>
    </row>
    <row r="102" spans="1:4">
      <c r="A102" s="145"/>
      <c r="B102" s="145"/>
    </row>
    <row r="103" spans="1:4">
      <c r="A103" s="145"/>
      <c r="B103" s="145"/>
    </row>
    <row r="104" spans="1:4">
      <c r="A104" s="145"/>
      <c r="B104" s="145"/>
    </row>
    <row r="105" spans="1:4">
      <c r="A105" s="145"/>
      <c r="B105" s="145"/>
      <c r="D105" s="148"/>
    </row>
    <row r="106" spans="1:4">
      <c r="A106" s="145"/>
      <c r="B106" s="145"/>
    </row>
    <row r="107" spans="1:4">
      <c r="A107" s="145"/>
      <c r="B107" s="145"/>
      <c r="D107" s="146"/>
    </row>
    <row r="108" spans="1:4">
      <c r="A108" s="145"/>
      <c r="B108" s="145"/>
      <c r="D108" s="146"/>
    </row>
    <row r="109" spans="1:4">
      <c r="A109" s="145"/>
      <c r="B109" s="145"/>
      <c r="D109" s="146"/>
    </row>
    <row r="110" spans="1:4">
      <c r="A110" s="145"/>
      <c r="B110" s="145"/>
      <c r="D110" s="146"/>
    </row>
    <row r="111" spans="1:4">
      <c r="A111" s="145"/>
      <c r="B111" s="145"/>
      <c r="D111" s="148"/>
    </row>
    <row r="112" spans="1:4">
      <c r="A112" s="145"/>
      <c r="B112" s="145"/>
    </row>
    <row r="113" spans="1:7">
      <c r="A113" s="145"/>
      <c r="B113" s="145"/>
    </row>
    <row r="114" spans="1:7">
      <c r="A114" s="145"/>
      <c r="B114" s="145"/>
    </row>
    <row r="115" spans="1:7">
      <c r="A115" s="145"/>
      <c r="B115" s="145"/>
    </row>
    <row r="116" spans="1:7">
      <c r="A116" s="145"/>
      <c r="B116" s="145"/>
    </row>
    <row r="117" spans="1:7">
      <c r="A117" s="145"/>
      <c r="B117" s="145"/>
    </row>
    <row r="118" spans="1:7">
      <c r="A118" s="145"/>
      <c r="B118" s="145"/>
    </row>
    <row r="119" spans="1:7">
      <c r="A119" s="145"/>
      <c r="B119" s="145"/>
    </row>
    <row r="120" spans="1:7">
      <c r="A120" s="145"/>
      <c r="B120" s="145"/>
    </row>
    <row r="121" spans="1:7" s="146" customFormat="1">
      <c r="A121" s="145"/>
      <c r="B121" s="145"/>
      <c r="D121" s="147"/>
      <c r="E121" s="6"/>
      <c r="F121" s="6"/>
      <c r="G121" s="6"/>
    </row>
    <row r="122" spans="1:7" s="146" customFormat="1">
      <c r="A122" s="145"/>
      <c r="B122" s="145"/>
      <c r="D122" s="147"/>
      <c r="E122" s="6"/>
      <c r="F122" s="6"/>
      <c r="G122" s="6"/>
    </row>
    <row r="123" spans="1:7" s="146" customFormat="1">
      <c r="A123" s="145"/>
      <c r="B123" s="145"/>
      <c r="D123" s="147"/>
      <c r="E123" s="6"/>
      <c r="F123" s="6"/>
      <c r="G123" s="6"/>
    </row>
    <row r="124" spans="1:7" s="146" customFormat="1">
      <c r="A124" s="145"/>
      <c r="B124" s="145"/>
      <c r="D124" s="147"/>
      <c r="E124" s="6"/>
      <c r="F124" s="6"/>
      <c r="G124" s="6"/>
    </row>
    <row r="125" spans="1:7" s="146" customFormat="1">
      <c r="A125" s="145"/>
      <c r="B125" s="145"/>
      <c r="D125" s="147"/>
      <c r="E125" s="6"/>
      <c r="F125" s="6"/>
      <c r="G125" s="6"/>
    </row>
    <row r="126" spans="1:7" s="146" customFormat="1">
      <c r="A126" s="145"/>
      <c r="B126" s="145"/>
      <c r="D126" s="147"/>
      <c r="E126" s="6"/>
      <c r="F126" s="6"/>
      <c r="G126" s="6"/>
    </row>
    <row r="127" spans="1:7" s="146" customFormat="1">
      <c r="A127" s="145"/>
      <c r="B127" s="145"/>
      <c r="D127" s="147"/>
      <c r="E127" s="6"/>
      <c r="F127" s="6"/>
      <c r="G127" s="6"/>
    </row>
    <row r="128" spans="1:7" s="146" customFormat="1">
      <c r="A128" s="145"/>
      <c r="B128" s="145"/>
      <c r="D128" s="147"/>
      <c r="E128" s="6"/>
      <c r="F128" s="6"/>
      <c r="G128" s="6"/>
    </row>
    <row r="129" spans="1:7" s="146" customFormat="1">
      <c r="A129" s="145"/>
      <c r="B129" s="145"/>
      <c r="D129" s="147"/>
      <c r="E129" s="6"/>
      <c r="F129" s="6"/>
      <c r="G129" s="6"/>
    </row>
    <row r="130" spans="1:7" s="146" customFormat="1">
      <c r="A130" s="145"/>
      <c r="B130" s="145"/>
      <c r="D130" s="147"/>
      <c r="E130" s="6"/>
      <c r="F130" s="6"/>
      <c r="G130" s="6"/>
    </row>
    <row r="131" spans="1:7" s="146" customFormat="1">
      <c r="A131" s="145"/>
      <c r="B131" s="145"/>
      <c r="D131" s="147"/>
      <c r="E131" s="6"/>
      <c r="F131" s="6"/>
      <c r="G131" s="6"/>
    </row>
    <row r="132" spans="1:7" s="146" customFormat="1">
      <c r="A132" s="145"/>
      <c r="B132" s="145"/>
      <c r="D132" s="147"/>
      <c r="E132" s="6"/>
      <c r="F132" s="6"/>
      <c r="G132" s="6"/>
    </row>
    <row r="133" spans="1:7" s="146" customFormat="1">
      <c r="A133" s="145"/>
      <c r="B133" s="145"/>
      <c r="D133" s="147"/>
      <c r="E133" s="6"/>
      <c r="F133" s="6"/>
      <c r="G133" s="6"/>
    </row>
    <row r="134" spans="1:7" s="146" customFormat="1">
      <c r="A134" s="145"/>
      <c r="B134" s="145"/>
      <c r="D134" s="147"/>
      <c r="E134" s="6"/>
      <c r="F134" s="6"/>
      <c r="G134" s="6"/>
    </row>
    <row r="135" spans="1:7" s="146" customFormat="1">
      <c r="A135" s="145"/>
      <c r="B135" s="145"/>
      <c r="D135" s="147"/>
      <c r="E135" s="6"/>
      <c r="F135" s="6"/>
      <c r="G135" s="6"/>
    </row>
    <row r="136" spans="1:7" s="146" customFormat="1">
      <c r="A136" s="145"/>
      <c r="B136" s="145"/>
      <c r="D136" s="147"/>
      <c r="E136" s="6"/>
      <c r="F136" s="6"/>
      <c r="G136" s="6"/>
    </row>
    <row r="137" spans="1:7" s="146" customFormat="1">
      <c r="A137" s="145"/>
      <c r="B137" s="145"/>
      <c r="D137" s="147"/>
      <c r="E137" s="6"/>
      <c r="F137" s="6"/>
      <c r="G137" s="6"/>
    </row>
    <row r="138" spans="1:7" s="146" customFormat="1">
      <c r="A138" s="145"/>
      <c r="B138" s="145"/>
      <c r="D138" s="147"/>
      <c r="E138" s="6"/>
      <c r="F138" s="6"/>
      <c r="G138" s="6"/>
    </row>
    <row r="139" spans="1:7" s="146" customFormat="1">
      <c r="A139" s="145"/>
      <c r="B139" s="145"/>
      <c r="D139" s="147"/>
      <c r="E139" s="6"/>
      <c r="F139" s="6"/>
      <c r="G139" s="6"/>
    </row>
    <row r="140" spans="1:7" s="146" customFormat="1">
      <c r="A140" s="145"/>
      <c r="B140" s="145"/>
      <c r="D140" s="147"/>
      <c r="E140" s="6"/>
      <c r="F140" s="6"/>
      <c r="G140" s="6"/>
    </row>
    <row r="141" spans="1:7" s="146" customFormat="1">
      <c r="A141" s="145"/>
      <c r="B141" s="145"/>
      <c r="D141" s="147"/>
      <c r="E141" s="6"/>
      <c r="F141" s="6"/>
      <c r="G141" s="6"/>
    </row>
    <row r="142" spans="1:7" s="146" customFormat="1">
      <c r="A142" s="145"/>
      <c r="B142" s="145"/>
      <c r="D142" s="147"/>
      <c r="E142" s="6"/>
      <c r="F142" s="6"/>
      <c r="G142" s="6"/>
    </row>
    <row r="143" spans="1:7" s="146" customFormat="1">
      <c r="A143" s="145"/>
      <c r="B143" s="145"/>
      <c r="D143" s="147"/>
      <c r="E143" s="6"/>
      <c r="F143" s="6"/>
      <c r="G143" s="6"/>
    </row>
    <row r="144" spans="1:7" s="146" customFormat="1">
      <c r="A144" s="145"/>
      <c r="B144" s="145"/>
      <c r="D144" s="147"/>
      <c r="E144" s="6"/>
      <c r="F144" s="6"/>
      <c r="G144" s="6"/>
    </row>
    <row r="145" spans="1:7" s="146" customFormat="1">
      <c r="A145" s="145"/>
      <c r="B145" s="145"/>
      <c r="D145" s="147"/>
      <c r="E145" s="6"/>
      <c r="F145" s="6"/>
      <c r="G145" s="6"/>
    </row>
    <row r="146" spans="1:7" s="146" customFormat="1">
      <c r="A146" s="145"/>
      <c r="B146" s="145"/>
      <c r="D146" s="147"/>
      <c r="E146" s="6"/>
      <c r="F146" s="6"/>
      <c r="G146" s="6"/>
    </row>
    <row r="147" spans="1:7" s="146" customFormat="1">
      <c r="A147" s="145"/>
      <c r="B147" s="145"/>
      <c r="D147" s="147"/>
      <c r="E147" s="6"/>
      <c r="F147" s="6"/>
      <c r="G147" s="6"/>
    </row>
    <row r="148" spans="1:7" s="146" customFormat="1">
      <c r="A148" s="145"/>
      <c r="B148" s="145"/>
      <c r="D148" s="147"/>
      <c r="E148" s="6"/>
      <c r="F148" s="6"/>
      <c r="G148" s="6"/>
    </row>
    <row r="149" spans="1:7" s="146" customFormat="1">
      <c r="A149" s="145"/>
      <c r="B149" s="145"/>
      <c r="D149" s="147"/>
      <c r="E149" s="6"/>
      <c r="F149" s="6"/>
      <c r="G149" s="6"/>
    </row>
    <row r="150" spans="1:7" s="146" customFormat="1">
      <c r="A150" s="145"/>
      <c r="B150" s="145"/>
      <c r="D150" s="147"/>
      <c r="E150" s="6"/>
      <c r="F150" s="6"/>
      <c r="G150" s="6"/>
    </row>
    <row r="151" spans="1:7" s="146" customFormat="1">
      <c r="A151" s="145"/>
      <c r="B151" s="145"/>
      <c r="D151" s="147"/>
      <c r="E151" s="6"/>
      <c r="F151" s="6"/>
      <c r="G151" s="6"/>
    </row>
    <row r="152" spans="1:7" s="146" customFormat="1">
      <c r="A152" s="145"/>
      <c r="B152" s="145"/>
      <c r="D152" s="147"/>
      <c r="E152" s="6"/>
      <c r="F152" s="6"/>
      <c r="G152" s="6"/>
    </row>
    <row r="153" spans="1:7" s="146" customFormat="1">
      <c r="A153" s="145"/>
      <c r="B153" s="145"/>
      <c r="D153" s="147"/>
      <c r="E153" s="6"/>
      <c r="F153" s="6"/>
      <c r="G153" s="6"/>
    </row>
    <row r="154" spans="1:7" s="146" customFormat="1">
      <c r="A154" s="145"/>
      <c r="B154" s="145"/>
      <c r="D154" s="147"/>
      <c r="E154" s="6"/>
      <c r="F154" s="6"/>
      <c r="G154" s="6"/>
    </row>
    <row r="155" spans="1:7" s="146" customFormat="1">
      <c r="A155" s="145"/>
      <c r="B155" s="145"/>
      <c r="D155" s="147"/>
      <c r="E155" s="6"/>
      <c r="F155" s="6"/>
      <c r="G155" s="6"/>
    </row>
    <row r="156" spans="1:7" s="146" customFormat="1">
      <c r="A156" s="145"/>
      <c r="B156" s="145"/>
      <c r="D156" s="147"/>
      <c r="E156" s="6"/>
      <c r="F156" s="6"/>
      <c r="G156" s="6"/>
    </row>
    <row r="157" spans="1:7" s="146" customFormat="1">
      <c r="A157" s="145"/>
      <c r="B157" s="145"/>
      <c r="D157" s="147"/>
      <c r="E157" s="6"/>
      <c r="F157" s="6"/>
      <c r="G157" s="6"/>
    </row>
    <row r="158" spans="1:7" s="146" customFormat="1">
      <c r="A158" s="145"/>
      <c r="B158" s="145"/>
      <c r="D158" s="147"/>
      <c r="E158" s="6"/>
      <c r="F158" s="6"/>
      <c r="G158" s="6"/>
    </row>
    <row r="159" spans="1:7" s="146" customFormat="1">
      <c r="A159" s="145"/>
      <c r="B159" s="145"/>
      <c r="D159" s="147"/>
      <c r="E159" s="6"/>
      <c r="F159" s="6"/>
      <c r="G159" s="6"/>
    </row>
    <row r="160" spans="1:7" s="146" customFormat="1">
      <c r="A160" s="145"/>
      <c r="B160" s="145"/>
      <c r="D160" s="147"/>
      <c r="E160" s="6"/>
      <c r="F160" s="6"/>
      <c r="G160" s="6"/>
    </row>
    <row r="161" spans="1:7" s="146" customFormat="1">
      <c r="A161" s="145"/>
      <c r="B161" s="145"/>
      <c r="D161" s="147"/>
      <c r="E161" s="6"/>
      <c r="F161" s="6"/>
      <c r="G161" s="6"/>
    </row>
    <row r="162" spans="1:7" s="146" customFormat="1">
      <c r="A162" s="145"/>
      <c r="B162" s="145"/>
      <c r="D162" s="147"/>
      <c r="E162" s="6"/>
      <c r="F162" s="6"/>
      <c r="G162" s="6"/>
    </row>
    <row r="163" spans="1:7" s="146" customFormat="1">
      <c r="A163" s="145"/>
      <c r="B163" s="145"/>
      <c r="D163" s="147"/>
      <c r="E163" s="6"/>
      <c r="F163" s="6"/>
      <c r="G163" s="6"/>
    </row>
    <row r="164" spans="1:7" s="146" customFormat="1">
      <c r="A164" s="145"/>
      <c r="B164" s="145"/>
      <c r="D164" s="147"/>
      <c r="E164" s="6"/>
      <c r="F164" s="6"/>
      <c r="G164" s="6"/>
    </row>
    <row r="165" spans="1:7" s="146" customFormat="1">
      <c r="A165" s="145"/>
      <c r="B165" s="145"/>
      <c r="D165" s="147"/>
      <c r="E165" s="6"/>
      <c r="F165" s="6"/>
      <c r="G165" s="6"/>
    </row>
    <row r="166" spans="1:7" s="146" customFormat="1">
      <c r="A166" s="145"/>
      <c r="B166" s="145"/>
      <c r="D166" s="147"/>
      <c r="E166" s="6"/>
      <c r="F166" s="6"/>
      <c r="G166" s="6"/>
    </row>
    <row r="167" spans="1:7" s="146" customFormat="1">
      <c r="A167" s="145"/>
      <c r="B167" s="145"/>
      <c r="D167" s="147"/>
      <c r="E167" s="6"/>
      <c r="F167" s="6"/>
      <c r="G167" s="6"/>
    </row>
    <row r="168" spans="1:7" s="146" customFormat="1">
      <c r="A168" s="145"/>
      <c r="B168" s="145"/>
      <c r="D168" s="147"/>
      <c r="E168" s="6"/>
      <c r="F168" s="6"/>
      <c r="G168" s="6"/>
    </row>
    <row r="169" spans="1:7" s="146" customFormat="1">
      <c r="A169" s="145"/>
      <c r="B169" s="145"/>
      <c r="D169" s="147"/>
      <c r="E169" s="6"/>
      <c r="F169" s="6"/>
      <c r="G169" s="6"/>
    </row>
    <row r="170" spans="1:7" s="146" customFormat="1">
      <c r="A170" s="145"/>
      <c r="B170" s="145"/>
      <c r="D170" s="147"/>
      <c r="E170" s="6"/>
      <c r="F170" s="6"/>
      <c r="G170" s="6"/>
    </row>
    <row r="171" spans="1:7" s="146" customFormat="1">
      <c r="A171" s="145"/>
      <c r="B171" s="145"/>
      <c r="D171" s="147"/>
      <c r="E171" s="6"/>
      <c r="F171" s="6"/>
      <c r="G171" s="6"/>
    </row>
    <row r="172" spans="1:7" s="146" customFormat="1">
      <c r="A172" s="145"/>
      <c r="B172" s="145"/>
      <c r="D172" s="147"/>
      <c r="E172" s="6"/>
      <c r="F172" s="6"/>
      <c r="G172" s="6"/>
    </row>
    <row r="173" spans="1:7" s="146" customFormat="1">
      <c r="A173" s="145"/>
      <c r="B173" s="145"/>
      <c r="D173" s="147"/>
      <c r="E173" s="6"/>
      <c r="F173" s="6"/>
      <c r="G173" s="6"/>
    </row>
    <row r="174" spans="1:7" s="146" customFormat="1">
      <c r="A174" s="145"/>
      <c r="B174" s="145"/>
      <c r="D174" s="147"/>
      <c r="E174" s="6"/>
      <c r="F174" s="6"/>
      <c r="G174" s="6"/>
    </row>
    <row r="175" spans="1:7" s="146" customFormat="1">
      <c r="A175" s="145"/>
      <c r="B175" s="145"/>
      <c r="D175" s="147"/>
      <c r="E175" s="6"/>
      <c r="F175" s="6"/>
      <c r="G175" s="6"/>
    </row>
    <row r="176" spans="1:7" s="146" customFormat="1">
      <c r="A176" s="145"/>
      <c r="B176" s="145"/>
      <c r="D176" s="147"/>
      <c r="E176" s="6"/>
      <c r="F176" s="6"/>
      <c r="G176" s="6"/>
    </row>
    <row r="177" spans="1:7" s="146" customFormat="1">
      <c r="A177" s="145"/>
      <c r="B177" s="145"/>
      <c r="D177" s="147"/>
      <c r="E177" s="6"/>
      <c r="F177" s="6"/>
      <c r="G177" s="6"/>
    </row>
    <row r="178" spans="1:7" s="146" customFormat="1">
      <c r="A178" s="145"/>
      <c r="B178" s="145"/>
      <c r="D178" s="147"/>
      <c r="E178" s="6"/>
      <c r="F178" s="6"/>
      <c r="G178" s="6"/>
    </row>
    <row r="179" spans="1:7" s="146" customFormat="1">
      <c r="A179" s="145"/>
      <c r="B179" s="145"/>
      <c r="D179" s="147"/>
      <c r="E179" s="6"/>
      <c r="F179" s="6"/>
      <c r="G179" s="6"/>
    </row>
    <row r="180" spans="1:7" s="146" customFormat="1">
      <c r="A180" s="145"/>
      <c r="B180" s="145"/>
      <c r="D180" s="147"/>
      <c r="E180" s="6"/>
      <c r="F180" s="6"/>
      <c r="G180" s="6"/>
    </row>
    <row r="181" spans="1:7" s="146" customFormat="1">
      <c r="A181" s="145"/>
      <c r="B181" s="145"/>
      <c r="D181" s="147"/>
      <c r="E181" s="6"/>
      <c r="F181" s="6"/>
      <c r="G181" s="6"/>
    </row>
    <row r="182" spans="1:7" s="146" customFormat="1">
      <c r="A182" s="145"/>
      <c r="B182" s="145"/>
      <c r="D182" s="147"/>
      <c r="E182" s="6"/>
      <c r="F182" s="6"/>
      <c r="G182" s="6"/>
    </row>
    <row r="183" spans="1:7" s="146" customFormat="1">
      <c r="A183" s="145"/>
      <c r="B183" s="145"/>
      <c r="D183" s="147"/>
      <c r="E183" s="6"/>
      <c r="F183" s="6"/>
      <c r="G183" s="6"/>
    </row>
    <row r="184" spans="1:7" s="146" customFormat="1">
      <c r="A184" s="145"/>
      <c r="B184" s="145"/>
      <c r="D184" s="147"/>
      <c r="E184" s="6"/>
      <c r="F184" s="6"/>
      <c r="G184" s="6"/>
    </row>
    <row r="185" spans="1:7" s="146" customFormat="1">
      <c r="A185" s="145"/>
      <c r="B185" s="145"/>
      <c r="D185" s="147"/>
      <c r="E185" s="6"/>
      <c r="F185" s="6"/>
      <c r="G185" s="6"/>
    </row>
    <row r="186" spans="1:7" s="146" customFormat="1">
      <c r="A186" s="145"/>
      <c r="B186" s="145"/>
      <c r="D186" s="147"/>
      <c r="E186" s="6"/>
      <c r="F186" s="6"/>
      <c r="G186" s="6"/>
    </row>
    <row r="187" spans="1:7" s="146" customFormat="1">
      <c r="A187" s="145"/>
      <c r="B187" s="145"/>
      <c r="D187" s="147"/>
      <c r="E187" s="6"/>
      <c r="F187" s="6"/>
      <c r="G187" s="6"/>
    </row>
    <row r="188" spans="1:7" s="146" customFormat="1">
      <c r="A188" s="145"/>
      <c r="B188" s="145"/>
      <c r="D188" s="147"/>
      <c r="E188" s="6"/>
      <c r="F188" s="6"/>
      <c r="G188" s="6"/>
    </row>
    <row r="189" spans="1:7" s="146" customFormat="1">
      <c r="A189" s="145"/>
      <c r="B189" s="145"/>
      <c r="D189" s="147"/>
      <c r="E189" s="6"/>
      <c r="F189" s="6"/>
      <c r="G189" s="6"/>
    </row>
    <row r="190" spans="1:7" s="146" customFormat="1">
      <c r="A190" s="145"/>
      <c r="B190" s="145"/>
      <c r="D190" s="147"/>
      <c r="E190" s="6"/>
      <c r="F190" s="6"/>
      <c r="G190" s="6"/>
    </row>
    <row r="191" spans="1:7" s="146" customFormat="1">
      <c r="A191" s="145"/>
      <c r="B191" s="145"/>
      <c r="D191" s="147"/>
      <c r="E191" s="6"/>
      <c r="F191" s="6"/>
      <c r="G191" s="6"/>
    </row>
    <row r="192" spans="1:7" s="146" customFormat="1">
      <c r="A192" s="145"/>
      <c r="B192" s="145"/>
      <c r="D192" s="147"/>
      <c r="E192" s="6"/>
      <c r="F192" s="6"/>
      <c r="G192" s="6"/>
    </row>
    <row r="193" spans="1:7" s="146" customFormat="1">
      <c r="A193" s="145"/>
      <c r="B193" s="145"/>
      <c r="D193" s="147"/>
      <c r="E193" s="6"/>
      <c r="F193" s="6"/>
      <c r="G193" s="6"/>
    </row>
    <row r="194" spans="1:7" s="146" customFormat="1">
      <c r="A194" s="145"/>
      <c r="B194" s="145"/>
      <c r="D194" s="147"/>
      <c r="E194" s="6"/>
      <c r="F194" s="6"/>
      <c r="G194" s="6"/>
    </row>
    <row r="195" spans="1:7" s="146" customFormat="1">
      <c r="A195" s="145"/>
      <c r="B195" s="145"/>
      <c r="D195" s="147"/>
      <c r="E195" s="6"/>
      <c r="F195" s="6"/>
      <c r="G195" s="6"/>
    </row>
    <row r="196" spans="1:7" s="146" customFormat="1">
      <c r="A196" s="145"/>
      <c r="B196" s="145"/>
      <c r="D196" s="147"/>
      <c r="E196" s="6"/>
      <c r="F196" s="6"/>
      <c r="G196" s="6"/>
    </row>
    <row r="197" spans="1:7" s="146" customFormat="1">
      <c r="A197" s="145"/>
      <c r="B197" s="145"/>
      <c r="D197" s="147"/>
      <c r="E197" s="6"/>
      <c r="F197" s="6"/>
      <c r="G197" s="6"/>
    </row>
    <row r="198" spans="1:7" s="146" customFormat="1">
      <c r="A198" s="145"/>
      <c r="B198" s="145"/>
      <c r="D198" s="147"/>
      <c r="E198" s="6"/>
      <c r="F198" s="6"/>
      <c r="G198" s="6"/>
    </row>
    <row r="199" spans="1:7" s="146" customFormat="1">
      <c r="A199" s="145"/>
      <c r="B199" s="145"/>
      <c r="D199" s="147"/>
      <c r="E199" s="6"/>
      <c r="F199" s="6"/>
      <c r="G199" s="6"/>
    </row>
    <row r="200" spans="1:7" s="146" customFormat="1">
      <c r="A200" s="145"/>
      <c r="B200" s="145"/>
      <c r="D200" s="147"/>
      <c r="E200" s="6"/>
      <c r="F200" s="6"/>
      <c r="G200" s="6"/>
    </row>
    <row r="201" spans="1:7" s="146" customFormat="1">
      <c r="A201" s="145"/>
      <c r="B201" s="145"/>
      <c r="D201" s="147"/>
      <c r="E201" s="6"/>
      <c r="F201" s="6"/>
      <c r="G201" s="6"/>
    </row>
    <row r="202" spans="1:7" s="146" customFormat="1">
      <c r="A202" s="145"/>
      <c r="B202" s="145"/>
      <c r="D202" s="147"/>
      <c r="E202" s="6"/>
      <c r="F202" s="6"/>
      <c r="G202" s="6"/>
    </row>
    <row r="203" spans="1:7" s="146" customFormat="1">
      <c r="A203" s="145"/>
      <c r="B203" s="145"/>
      <c r="D203" s="147"/>
      <c r="E203" s="6"/>
      <c r="F203" s="6"/>
      <c r="G203" s="6"/>
    </row>
    <row r="204" spans="1:7" s="146" customFormat="1">
      <c r="A204" s="145"/>
      <c r="B204" s="145"/>
      <c r="D204" s="147"/>
      <c r="E204" s="6"/>
      <c r="F204" s="6"/>
      <c r="G204" s="6"/>
    </row>
    <row r="205" spans="1:7" s="146" customFormat="1">
      <c r="A205" s="145"/>
      <c r="B205" s="145"/>
      <c r="D205" s="147"/>
      <c r="E205" s="6"/>
      <c r="F205" s="6"/>
      <c r="G205" s="6"/>
    </row>
    <row r="206" spans="1:7" s="146" customFormat="1">
      <c r="A206" s="145"/>
      <c r="B206" s="145"/>
      <c r="D206" s="147"/>
      <c r="E206" s="6"/>
      <c r="F206" s="6"/>
      <c r="G206" s="6"/>
    </row>
    <row r="207" spans="1:7" s="146" customFormat="1">
      <c r="A207" s="145"/>
      <c r="B207" s="145"/>
      <c r="D207" s="147"/>
      <c r="E207" s="6"/>
      <c r="F207" s="6"/>
      <c r="G207" s="6"/>
    </row>
    <row r="208" spans="1:7" s="146" customFormat="1">
      <c r="A208" s="145"/>
      <c r="B208" s="145"/>
      <c r="D208" s="147"/>
      <c r="E208" s="6"/>
      <c r="F208" s="6"/>
      <c r="G208" s="6"/>
    </row>
    <row r="209" spans="1:7" s="146" customFormat="1">
      <c r="A209" s="145"/>
      <c r="B209" s="145"/>
      <c r="D209" s="147"/>
      <c r="E209" s="6"/>
      <c r="F209" s="6"/>
      <c r="G209" s="6"/>
    </row>
    <row r="210" spans="1:7" s="146" customFormat="1">
      <c r="A210" s="145"/>
      <c r="B210" s="145"/>
      <c r="D210" s="147"/>
      <c r="E210" s="6"/>
      <c r="F210" s="6"/>
      <c r="G210" s="6"/>
    </row>
    <row r="211" spans="1:7" s="146" customFormat="1">
      <c r="A211" s="145"/>
      <c r="B211" s="145"/>
      <c r="D211" s="147"/>
      <c r="E211" s="6"/>
      <c r="F211" s="6"/>
      <c r="G211" s="6"/>
    </row>
    <row r="212" spans="1:7" s="146" customFormat="1">
      <c r="A212" s="145"/>
      <c r="B212" s="145"/>
      <c r="D212" s="147"/>
      <c r="E212" s="6"/>
      <c r="F212" s="6"/>
      <c r="G212" s="6"/>
    </row>
    <row r="213" spans="1:7" s="146" customFormat="1">
      <c r="A213" s="145"/>
      <c r="B213" s="145"/>
      <c r="D213" s="147"/>
      <c r="E213" s="6"/>
      <c r="F213" s="6"/>
      <c r="G213" s="6"/>
    </row>
    <row r="214" spans="1:7" s="146" customFormat="1">
      <c r="A214" s="145"/>
      <c r="B214" s="145"/>
      <c r="D214" s="147"/>
      <c r="E214" s="6"/>
      <c r="F214" s="6"/>
      <c r="G214" s="6"/>
    </row>
    <row r="215" spans="1:7" s="146" customFormat="1">
      <c r="A215" s="145"/>
      <c r="B215" s="145"/>
      <c r="D215" s="147"/>
      <c r="E215" s="6"/>
      <c r="F215" s="6"/>
      <c r="G215" s="6"/>
    </row>
    <row r="216" spans="1:7" s="146" customFormat="1">
      <c r="A216" s="145"/>
      <c r="B216" s="145"/>
      <c r="D216" s="147"/>
      <c r="E216" s="6"/>
      <c r="F216" s="6"/>
      <c r="G216" s="6"/>
    </row>
    <row r="217" spans="1:7" s="146" customFormat="1">
      <c r="A217" s="145"/>
      <c r="B217" s="145"/>
      <c r="D217" s="147"/>
      <c r="E217" s="6"/>
      <c r="F217" s="6"/>
      <c r="G217" s="6"/>
    </row>
    <row r="218" spans="1:7" s="146" customFormat="1">
      <c r="A218" s="145"/>
      <c r="B218" s="145"/>
      <c r="D218" s="147"/>
      <c r="E218" s="6"/>
      <c r="F218" s="6"/>
      <c r="G218" s="6"/>
    </row>
    <row r="219" spans="1:7" s="146" customFormat="1">
      <c r="A219" s="145"/>
      <c r="B219" s="145"/>
      <c r="D219" s="147"/>
      <c r="E219" s="6"/>
      <c r="F219" s="6"/>
      <c r="G219" s="6"/>
    </row>
    <row r="220" spans="1:7" s="146" customFormat="1">
      <c r="A220" s="145"/>
      <c r="B220" s="145"/>
      <c r="D220" s="147"/>
      <c r="E220" s="6"/>
      <c r="F220" s="6"/>
      <c r="G220" s="6"/>
    </row>
    <row r="221" spans="1:7" s="146" customFormat="1">
      <c r="A221" s="145"/>
      <c r="B221" s="145"/>
      <c r="D221" s="147"/>
      <c r="E221" s="6"/>
      <c r="F221" s="6"/>
      <c r="G221" s="6"/>
    </row>
    <row r="222" spans="1:7" s="146" customFormat="1">
      <c r="A222" s="145"/>
      <c r="B222" s="145"/>
      <c r="D222" s="147"/>
      <c r="E222" s="6"/>
      <c r="F222" s="6"/>
      <c r="G222" s="6"/>
    </row>
    <row r="223" spans="1:7" s="146" customFormat="1">
      <c r="A223" s="145"/>
      <c r="B223" s="145"/>
      <c r="D223" s="147"/>
      <c r="E223" s="6"/>
      <c r="F223" s="6"/>
      <c r="G223" s="6"/>
    </row>
    <row r="224" spans="1:7" s="146" customFormat="1">
      <c r="A224" s="145"/>
      <c r="B224" s="6"/>
      <c r="D224" s="147"/>
      <c r="E224" s="6"/>
      <c r="F224" s="6"/>
      <c r="G224" s="6"/>
    </row>
    <row r="225" spans="1:7" s="146" customFormat="1">
      <c r="A225" s="145"/>
      <c r="B225" s="6"/>
      <c r="D225" s="147"/>
      <c r="E225" s="6"/>
      <c r="F225" s="6"/>
      <c r="G225" s="6"/>
    </row>
    <row r="226" spans="1:7" s="146" customFormat="1">
      <c r="A226" s="145"/>
      <c r="B226" s="6"/>
      <c r="D226" s="147"/>
      <c r="E226" s="6"/>
      <c r="F226" s="6"/>
      <c r="G226" s="6"/>
    </row>
    <row r="227" spans="1:7" s="146" customFormat="1">
      <c r="A227" s="145"/>
      <c r="B227" s="6"/>
      <c r="D227" s="147"/>
      <c r="E227" s="6"/>
      <c r="F227" s="6"/>
      <c r="G227" s="6"/>
    </row>
    <row r="228" spans="1:7" s="146" customFormat="1">
      <c r="A228" s="145"/>
      <c r="B228" s="6"/>
      <c r="D228" s="147"/>
      <c r="E228" s="6"/>
      <c r="F228" s="6"/>
      <c r="G228" s="6"/>
    </row>
  </sheetData>
  <autoFilter ref="A1:F72" xr:uid="{5ECEFF69-8A3A-4343-8987-40906D782014}"/>
  <phoneticPr fontId="5" type="noConversion"/>
  <pageMargins left="0.7" right="0.7" top="0.78740157499999996" bottom="0.78740157499999996" header="0.3" footer="0.3"/>
  <pageSetup paperSize="9" scale="53" fitToHeight="0" orientation="landscape" r:id="rId1"/>
  <headerFooter>
    <oddFooter>&amp;C&amp;1#&amp;"Arial"&amp;8&amp;KA6A6A6restricted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28</vt:i4>
      </vt:variant>
    </vt:vector>
  </HeadingPairs>
  <TitlesOfParts>
    <vt:vector size="34" baseType="lpstr">
      <vt:lpstr>Data Protection Information</vt:lpstr>
      <vt:lpstr>Explanation</vt:lpstr>
      <vt:lpstr>Company Profile</vt:lpstr>
      <vt:lpstr>Supplier Approval Form</vt:lpstr>
      <vt:lpstr>Language table</vt:lpstr>
      <vt:lpstr>Revison list</vt:lpstr>
      <vt:lpstr>Approval</vt:lpstr>
      <vt:lpstr>BPC</vt:lpstr>
      <vt:lpstr>Conditions</vt:lpstr>
      <vt:lpstr>Country</vt:lpstr>
      <vt:lpstr>CScat</vt:lpstr>
      <vt:lpstr>Currency</vt:lpstr>
      <vt:lpstr>CyberSecurity</vt:lpstr>
      <vt:lpstr>Decision</vt:lpstr>
      <vt:lpstr>'Company Profile'!Druckbereich</vt:lpstr>
      <vt:lpstr>'Data Protection Information'!Druckbereich</vt:lpstr>
      <vt:lpstr>Explanation!Druckbereich</vt:lpstr>
      <vt:lpstr>'Supplier Approval Form'!Druckbereich</vt:lpstr>
      <vt:lpstr>'Supplier Approval Form'!Drucktitel</vt:lpstr>
      <vt:lpstr>Incoterms</vt:lpstr>
      <vt:lpstr>Insurance</vt:lpstr>
      <vt:lpstr>Language</vt:lpstr>
      <vt:lpstr>Rating</vt:lpstr>
      <vt:lpstr>Requirements</vt:lpstr>
      <vt:lpstr>SAP</vt:lpstr>
      <vt:lpstr>Selection</vt:lpstr>
      <vt:lpstr>Selection2</vt:lpstr>
      <vt:lpstr>Selection3</vt:lpstr>
      <vt:lpstr>TC</vt:lpstr>
      <vt:lpstr>TCname</vt:lpstr>
      <vt:lpstr>Translation</vt:lpstr>
      <vt:lpstr>Usage</vt:lpstr>
      <vt:lpstr>VC</vt:lpstr>
      <vt:lpstr>VendorClass</vt:lpstr>
    </vt:vector>
  </TitlesOfParts>
  <Company>Benteler Automotive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Timreck</dc:creator>
  <cp:lastModifiedBy>Thorsten Schneider</cp:lastModifiedBy>
  <cp:lastPrinted>2023-07-25T09:42:16Z</cp:lastPrinted>
  <dcterms:created xsi:type="dcterms:W3CDTF">2009-07-28T20:15:29Z</dcterms:created>
  <dcterms:modified xsi:type="dcterms:W3CDTF">2023-10-30T14:15:49Z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d034ca-24b7-43db-aeb7-3325b59f2302_Enabled">
    <vt:lpwstr>true</vt:lpwstr>
  </property>
  <property fmtid="{D5CDD505-2E9C-101B-9397-08002B2CF9AE}" pid="3" name="MSIP_Label_ded034ca-24b7-43db-aeb7-3325b59f2302_SetDate">
    <vt:lpwstr>2023-06-07T06:16:26Z</vt:lpwstr>
  </property>
  <property fmtid="{D5CDD505-2E9C-101B-9397-08002B2CF9AE}" pid="4" name="MSIP_Label_ded034ca-24b7-43db-aeb7-3325b59f2302_Method">
    <vt:lpwstr>Standard</vt:lpwstr>
  </property>
  <property fmtid="{D5CDD505-2E9C-101B-9397-08002B2CF9AE}" pid="5" name="MSIP_Label_ded034ca-24b7-43db-aeb7-3325b59f2302_Name">
    <vt:lpwstr>Restricted</vt:lpwstr>
  </property>
  <property fmtid="{D5CDD505-2E9C-101B-9397-08002B2CF9AE}" pid="6" name="MSIP_Label_ded034ca-24b7-43db-aeb7-3325b59f2302_SiteId">
    <vt:lpwstr>bb2da9be-ab20-443b-a93e-baf7506f7433</vt:lpwstr>
  </property>
  <property fmtid="{D5CDD505-2E9C-101B-9397-08002B2CF9AE}" pid="7" name="MSIP_Label_ded034ca-24b7-43db-aeb7-3325b59f2302_ActionId">
    <vt:lpwstr>a0430bf2-f2ea-45c6-aa4c-4361d266d5f5</vt:lpwstr>
  </property>
  <property fmtid="{D5CDD505-2E9C-101B-9397-08002B2CF9AE}" pid="8" name="MSIP_Label_ded034ca-24b7-43db-aeb7-3325b59f2302_ContentBits">
    <vt:lpwstr>2</vt:lpwstr>
  </property>
</Properties>
</file>