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C5AEE945-2DC8-4D49-A05F-702F13ABB7F5}" xr6:coauthVersionLast="45" xr6:coauthVersionMax="45" xr10:uidLastSave="{00000000-0000-0000-0000-000000000000}"/>
  <bookViews>
    <workbookView xWindow="-120" yWindow="-120" windowWidth="29040" windowHeight="15990" tabRatio="798" xr2:uid="{00000000-000D-0000-FFFF-FFFF00000000}"/>
  </bookViews>
  <sheets>
    <sheet name="Info &amp; Language" sheetId="23" r:id="rId1"/>
    <sheet name="A Profile &amp; Portfolio" sheetId="1" r:id="rId2"/>
    <sheet name="B Financial &amp; C Quality" sheetId="2" r:id="rId3"/>
    <sheet name="C HSE Evaluation" sheetId="18" r:id="rId4"/>
    <sheet name="D Social Responsibility" sheetId="17" r:id="rId5"/>
    <sheet name="Language table" sheetId="19" state="hidden" r:id="rId6"/>
    <sheet name="Change history" sheetId="26" state="hidden" r:id="rId7"/>
  </sheets>
  <externalReferences>
    <externalReference r:id="rId8"/>
    <externalReference r:id="rId9"/>
  </externalReferences>
  <definedNames>
    <definedName name="Approval">'Language table'!$B$8:$E$8</definedName>
    <definedName name="Currency">'Language table'!$U$9:$U$200</definedName>
    <definedName name="_xlnm.Print_Area" localSheetId="1">'A Profile &amp; Portfolio'!$A$1:$K$54</definedName>
    <definedName name="_xlnm.Print_Area" localSheetId="2">'B Financial &amp; C Quality'!$A$1:$K$28</definedName>
    <definedName name="_xlnm.Print_Area" localSheetId="3">'C HSE Evaluation'!$A$1:$F$43</definedName>
    <definedName name="_xlnm.Print_Area" localSheetId="4">'D Social Responsibility'!$A$1:$G$100</definedName>
    <definedName name="_xlnm.Print_Area" localSheetId="0">'Info &amp; Language'!$A$1:$E$1</definedName>
    <definedName name="_xlnm.Print_Area" localSheetId="5">'Language table'!$A$1:$C$335</definedName>
    <definedName name="_xlnm.Print_Titles" localSheetId="3">'C HSE Evaluation'!$1:$3</definedName>
    <definedName name="_xlnm.Print_Titles" localSheetId="4">'D Social Responsibility'!$1:$3</definedName>
    <definedName name="_xlnm.Print_Titles" localSheetId="0">'Info &amp; Language'!$1:$1</definedName>
    <definedName name="Incoterms">'Language table'!$E$12:$E$24</definedName>
    <definedName name="ITsecurity">'Language table'!$E$272:$E$275</definedName>
    <definedName name="Language">'Info &amp; Language'!$A$1</definedName>
    <definedName name="Payment">'Language table'!$E$36:$E$42</definedName>
    <definedName name="Please_select">#REF!</definedName>
    <definedName name="Rating">'Language table'!$B$7:$E$7</definedName>
    <definedName name="Requirements">'Language table'!$G$12:$J$26</definedName>
    <definedName name="Selection">'Language table'!$B$4:$D$4</definedName>
    <definedName name="Selection2">'Language table'!$B$6:$E$6</definedName>
    <definedName name="TC">'Language table'!$L$10:$L$76</definedName>
    <definedName name="TCname">'Language table'!$N$10:$O$76</definedName>
    <definedName name="Translation">'Language table'!$B$11:$C$291</definedName>
    <definedName name="Usage">'Language table'!$B$5:$E$5</definedName>
    <definedName name="VC">'Info &amp; Language'!#REF!</definedName>
    <definedName name="VendorClass">'Language table'!$B$3:$F$3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8" l="1" a="1"/>
  <c r="F9" i="18" s="1"/>
  <c r="F13" i="18" l="1" a="1"/>
  <c r="F13" i="18" s="1"/>
  <c r="F11" i="18" a="1"/>
  <c r="F11" i="18" s="1"/>
  <c r="F7" i="18" l="1" a="1"/>
  <c r="F7" i="18" s="1"/>
  <c r="A3" i="18" l="1"/>
  <c r="A3" i="2" l="1"/>
  <c r="F49" i="17"/>
  <c r="E49" i="17"/>
  <c r="F74" i="17"/>
  <c r="E74" i="17"/>
  <c r="F68" i="17"/>
  <c r="E68" i="17"/>
  <c r="F62" i="17"/>
  <c r="E62" i="17"/>
  <c r="F56" i="17"/>
  <c r="E56" i="17"/>
  <c r="B57" i="17"/>
  <c r="F44" i="17"/>
  <c r="E44" i="17"/>
  <c r="F39" i="17"/>
  <c r="E39" i="17"/>
  <c r="F24" i="17"/>
  <c r="E24" i="17"/>
  <c r="B25" i="17"/>
  <c r="A3" i="1" l="1"/>
  <c r="L52" i="19" l="1"/>
  <c r="L53" i="19"/>
  <c r="L54" i="19"/>
  <c r="L76" i="19"/>
  <c r="A55" i="1"/>
  <c r="A32" i="1"/>
  <c r="A27" i="1"/>
  <c r="A26" i="1"/>
  <c r="A25" i="1"/>
  <c r="G58" i="1"/>
  <c r="G56" i="1"/>
  <c r="A58" i="1"/>
  <c r="A56" i="1"/>
  <c r="F16" i="1" l="1"/>
  <c r="F12" i="1"/>
  <c r="F18" i="1"/>
  <c r="F20" i="1"/>
  <c r="F8" i="17" l="1"/>
  <c r="B64" i="17"/>
  <c r="A65" i="17"/>
  <c r="F14" i="1" l="1"/>
  <c r="A16" i="1"/>
  <c r="A14" i="1"/>
  <c r="A12" i="1"/>
  <c r="B41" i="18"/>
  <c r="E276" i="19" l="1"/>
  <c r="A27" i="2"/>
  <c r="A26" i="2"/>
  <c r="E272" i="19"/>
  <c r="B40" i="18"/>
  <c r="B39" i="18"/>
  <c r="E275" i="19"/>
  <c r="E274" i="19"/>
  <c r="E273" i="19"/>
  <c r="B43" i="18"/>
  <c r="B42" i="18"/>
  <c r="B38" i="18"/>
  <c r="B37" i="18" l="1"/>
  <c r="B11" i="18"/>
  <c r="A25" i="2" l="1"/>
  <c r="F8" i="1" l="1"/>
  <c r="F10" i="1"/>
  <c r="E22" i="1" l="1"/>
  <c r="A22" i="1"/>
  <c r="A20" i="1" l="1"/>
  <c r="O10" i="19" l="1"/>
  <c r="N10" i="19"/>
  <c r="G36" i="19"/>
  <c r="F36" i="19"/>
  <c r="L55" i="19" l="1"/>
  <c r="L39" i="19"/>
  <c r="L74" i="19"/>
  <c r="L27" i="19"/>
  <c r="L19" i="19"/>
  <c r="L75" i="19"/>
  <c r="L73" i="19"/>
  <c r="L62" i="19"/>
  <c r="L33" i="19"/>
  <c r="L31" i="19"/>
  <c r="L11" i="19"/>
  <c r="A13" i="2" l="1"/>
  <c r="A11" i="2"/>
  <c r="E42" i="19"/>
  <c r="E41" i="19"/>
  <c r="E40" i="19"/>
  <c r="E39" i="19"/>
  <c r="E38" i="19"/>
  <c r="E37" i="19"/>
  <c r="C5" i="19"/>
  <c r="E36" i="19"/>
  <c r="U11" i="19" l="1"/>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5"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10" i="19"/>
  <c r="U9" i="19"/>
  <c r="E8" i="19" l="1"/>
  <c r="D8" i="19"/>
  <c r="C8" i="19"/>
  <c r="B8" i="19"/>
  <c r="O3" i="19" l="1"/>
  <c r="D3" i="19" l="1"/>
  <c r="E3" i="19"/>
  <c r="F3" i="19"/>
  <c r="C3" i="19"/>
  <c r="C7" i="19"/>
  <c r="E7" i="19" l="1"/>
  <c r="D7" i="19"/>
  <c r="B7" i="19"/>
  <c r="L12" i="19" l="1"/>
  <c r="L13" i="19"/>
  <c r="L14" i="19"/>
  <c r="L15" i="19"/>
  <c r="L16" i="19"/>
  <c r="L17" i="19"/>
  <c r="L18" i="19"/>
  <c r="L20" i="19"/>
  <c r="L21" i="19"/>
  <c r="L22" i="19"/>
  <c r="L23" i="19"/>
  <c r="L24" i="19"/>
  <c r="L25" i="19"/>
  <c r="L26" i="19"/>
  <c r="L28" i="19"/>
  <c r="L29" i="19"/>
  <c r="L30" i="19"/>
  <c r="L32" i="19"/>
  <c r="L34" i="19"/>
  <c r="L35" i="19"/>
  <c r="L36" i="19"/>
  <c r="L37" i="19"/>
  <c r="L38" i="19"/>
  <c r="L40" i="19"/>
  <c r="L41" i="19"/>
  <c r="L42" i="19"/>
  <c r="L43" i="19"/>
  <c r="L44" i="19"/>
  <c r="L45" i="19"/>
  <c r="L46" i="19"/>
  <c r="L47" i="19"/>
  <c r="L48" i="19"/>
  <c r="L49" i="19"/>
  <c r="L50" i="19"/>
  <c r="L51" i="19"/>
  <c r="L56" i="19"/>
  <c r="L57" i="19"/>
  <c r="L58" i="19"/>
  <c r="L59" i="19"/>
  <c r="L60" i="19"/>
  <c r="L61" i="19"/>
  <c r="L63" i="19"/>
  <c r="L64" i="19"/>
  <c r="L65" i="19"/>
  <c r="L66" i="19"/>
  <c r="L67" i="19"/>
  <c r="L68" i="19"/>
  <c r="L69" i="19"/>
  <c r="L70" i="19"/>
  <c r="L71" i="19"/>
  <c r="L72" i="19"/>
  <c r="L10" i="19"/>
  <c r="K49" i="1" l="1"/>
  <c r="A21" i="2"/>
  <c r="A10" i="1" l="1"/>
  <c r="A8" i="1"/>
  <c r="A4" i="1"/>
  <c r="B7" i="18" l="1"/>
  <c r="E12" i="17"/>
  <c r="A6" i="1"/>
  <c r="F12" i="17" l="1"/>
  <c r="B10" i="17"/>
  <c r="B13" i="17"/>
  <c r="D6" i="19" l="1"/>
  <c r="E6" i="19"/>
  <c r="C6" i="19"/>
  <c r="O4" i="19" s="1"/>
  <c r="B75" i="17"/>
  <c r="B73" i="17"/>
  <c r="B72" i="17"/>
  <c r="E71" i="17"/>
  <c r="B71" i="17"/>
  <c r="B68" i="17"/>
  <c r="B67" i="17"/>
  <c r="B63" i="17"/>
  <c r="B61" i="17"/>
  <c r="M3" i="19" l="1"/>
  <c r="B60" i="17"/>
  <c r="B59" i="17"/>
  <c r="B55" i="17"/>
  <c r="B54" i="17"/>
  <c r="B52" i="17"/>
  <c r="B51" i="17"/>
  <c r="B50" i="17"/>
  <c r="B48" i="17"/>
  <c r="B47" i="17"/>
  <c r="B45" i="17"/>
  <c r="B43" i="17"/>
  <c r="B42" i="17"/>
  <c r="B40" i="17"/>
  <c r="B38" i="17"/>
  <c r="B37" i="17"/>
  <c r="B35" i="17"/>
  <c r="B34" i="17"/>
  <c r="B33" i="17"/>
  <c r="B32" i="17"/>
  <c r="B31" i="17"/>
  <c r="B30" i="17"/>
  <c r="B29" i="17"/>
  <c r="B28" i="17"/>
  <c r="B27" i="17"/>
  <c r="B26" i="17"/>
  <c r="B23" i="17"/>
  <c r="B22" i="17"/>
  <c r="B20" i="17"/>
  <c r="B19" i="17"/>
  <c r="B18" i="17"/>
  <c r="B17" i="17"/>
  <c r="B16" i="17"/>
  <c r="B15" i="17"/>
  <c r="B14" i="17"/>
  <c r="B11" i="17"/>
  <c r="B7" i="17"/>
  <c r="B6" i="17" l="1"/>
  <c r="B5" i="17"/>
  <c r="A3" i="17"/>
  <c r="A1" i="17" l="1"/>
  <c r="A1" i="18"/>
  <c r="B35" i="18" l="1"/>
  <c r="B34" i="18"/>
  <c r="B33" i="18"/>
  <c r="B32" i="18"/>
  <c r="B31" i="18"/>
  <c r="B30" i="18"/>
  <c r="B28" i="18"/>
  <c r="B27" i="18"/>
  <c r="B26" i="18"/>
  <c r="B25" i="18"/>
  <c r="B24" i="18"/>
  <c r="B23" i="18"/>
  <c r="B21" i="18"/>
  <c r="B20" i="18"/>
  <c r="B19" i="18"/>
  <c r="B18" i="18"/>
  <c r="B17" i="18"/>
  <c r="B16" i="18"/>
  <c r="B9" i="18"/>
  <c r="B5" i="18"/>
  <c r="B6" i="18" l="1"/>
  <c r="A17" i="2"/>
  <c r="A1" i="2"/>
  <c r="E5" i="19" l="1"/>
  <c r="D5" i="19"/>
  <c r="C4" i="19"/>
  <c r="J18" i="2"/>
  <c r="H18" i="2"/>
  <c r="F18" i="2"/>
  <c r="D18" i="2"/>
  <c r="A24" i="2"/>
  <c r="A23" i="2"/>
  <c r="A22" i="2"/>
  <c r="A20" i="2"/>
  <c r="A19" i="2"/>
  <c r="A18" i="2"/>
  <c r="A16" i="2"/>
  <c r="A15" i="2"/>
  <c r="D4" i="2"/>
  <c r="A8" i="2"/>
  <c r="A7" i="2"/>
  <c r="A6" i="2"/>
  <c r="A5" i="2"/>
  <c r="I4" i="2"/>
  <c r="F4" i="2"/>
  <c r="A4" i="2"/>
  <c r="B6" i="19" l="1"/>
  <c r="B4" i="19"/>
  <c r="B5" i="19"/>
  <c r="E12" i="19"/>
  <c r="C42" i="1"/>
  <c r="A42" i="1"/>
  <c r="A41" i="1"/>
  <c r="K39" i="1"/>
  <c r="K38" i="1"/>
  <c r="K37" i="1"/>
  <c r="K36" i="1"/>
  <c r="D39" i="1"/>
  <c r="D38" i="1"/>
  <c r="D37" i="1"/>
  <c r="D36" i="1"/>
  <c r="A37" i="1"/>
  <c r="A36" i="1"/>
  <c r="G35" i="1"/>
  <c r="A35" i="1"/>
  <c r="G49" i="1"/>
  <c r="A49" i="1"/>
  <c r="J49" i="1"/>
  <c r="I49" i="1"/>
  <c r="H49" i="1"/>
  <c r="A53" i="1"/>
  <c r="D49" i="1"/>
  <c r="B49" i="1"/>
  <c r="G48" i="1"/>
  <c r="A48" i="1"/>
  <c r="D4" i="19"/>
  <c r="A18" i="1"/>
  <c r="A1" i="1"/>
  <c r="F10" i="18" l="1"/>
  <c r="F12" i="18"/>
  <c r="F14" i="18"/>
  <c r="F8" i="18"/>
  <c r="B13" i="18"/>
  <c r="M4" i="19" l="1"/>
  <c r="N4" i="19" l="1"/>
  <c r="N6"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<sst xmlns="http://schemas.openxmlformats.org/spreadsheetml/2006/main" count="1632" uniqueCount="1446">
  <si>
    <t>Facility Address:</t>
  </si>
  <si>
    <t>Department:</t>
  </si>
  <si>
    <t>Post code, City, State:</t>
  </si>
  <si>
    <t>Country:</t>
  </si>
  <si>
    <t>VAT-Number:</t>
  </si>
  <si>
    <t>Year</t>
  </si>
  <si>
    <t>Risk Assurance</t>
  </si>
  <si>
    <t>Amount of Coverage</t>
  </si>
  <si>
    <t>Yes</t>
  </si>
  <si>
    <t>No</t>
  </si>
  <si>
    <t>Type</t>
  </si>
  <si>
    <t>Bank Name &amp; Address</t>
  </si>
  <si>
    <t>SWIFT Code</t>
  </si>
  <si>
    <t>Account No.</t>
  </si>
  <si>
    <t>Routing No.</t>
  </si>
  <si>
    <t>Customer Name</t>
  </si>
  <si>
    <t>Standard</t>
  </si>
  <si>
    <t>Result</t>
  </si>
  <si>
    <t>Methods</t>
  </si>
  <si>
    <t xml:space="preserve">Process- and Machine capability studies </t>
  </si>
  <si>
    <t>CAD</t>
  </si>
  <si>
    <t>Other methods:</t>
  </si>
  <si>
    <t>Quality Dep.</t>
  </si>
  <si>
    <t>*Investments</t>
  </si>
  <si>
    <t>*Sales</t>
  </si>
  <si>
    <t>Detailed Problem Solving Methodology &amp; Tools (5x Why, Ishikawa Diagram, etc.)</t>
  </si>
  <si>
    <t>Date</t>
  </si>
  <si>
    <t>2.1</t>
  </si>
  <si>
    <t>1.1</t>
  </si>
  <si>
    <t>2.2</t>
  </si>
  <si>
    <t>1.2</t>
  </si>
  <si>
    <t>2.3</t>
  </si>
  <si>
    <t>1.3</t>
  </si>
  <si>
    <t>2.4</t>
  </si>
  <si>
    <t>2.5</t>
  </si>
  <si>
    <t>3.1</t>
  </si>
  <si>
    <t>3.2</t>
  </si>
  <si>
    <t>4.1</t>
  </si>
  <si>
    <t>4.5</t>
  </si>
  <si>
    <t>3.3</t>
  </si>
  <si>
    <t>5.1</t>
  </si>
  <si>
    <t>4.2</t>
  </si>
  <si>
    <t>4.3</t>
  </si>
  <si>
    <t>4.4</t>
  </si>
  <si>
    <t>6.1</t>
  </si>
  <si>
    <t>Is it in particular forbidden in your company to apply child work (child work according to the terms of the national law)?</t>
  </si>
  <si>
    <t>Is it prohibited in your company to apply forced labor?</t>
  </si>
  <si>
    <t>Is Freedom of Association in accordance with national laws given in your company?</t>
  </si>
  <si>
    <t>Employees must be informed in writing about their rights and duties within the company and towards their employer. In particular working time, vacation and remuneration are agreed in writing.</t>
  </si>
  <si>
    <t>Has your company concluded working contracts with all your employees?</t>
  </si>
  <si>
    <t>Is the working time in your company in line with national law and the national standards of the concerned industrial sector?</t>
  </si>
  <si>
    <t>Can you exclude with reasonable certainty, that members of minority groups are discriminated in any kind of way in your company. Are there programs in place to counteract possible discrimination?</t>
  </si>
  <si>
    <t>Do all employees of your company earn at least the minimum statutory income?</t>
  </si>
  <si>
    <t>Does your company grant paid vacation to all employees?</t>
  </si>
  <si>
    <t>Antitrust law aims at protecting a free market system based on supply and demand, which is one of the core principles of our society and our economy and which generates growth and creates jobs. Laws are there to prevent restrictions of competition and establish the same set of rules for all market players. Companies are responsible for ensuring compliance with these regulations. Failure to comply with these laws may result in criminal and administrative fines, imprisonment, and civil suits for damages against the company, its individual officers, directors and employees involved. The amount of damages and fines can threaten the continued existence for the company.</t>
  </si>
  <si>
    <t>Do programs or processes exist in your company in order to avoid breaches of Antitrust Law and to support fair competition?</t>
  </si>
  <si>
    <t>Corruption is largely banned worldwide. Corruption leads to economic decisions that are not made according to the free play of supply and demand, but by the abuse of personal power to the private benefit of the actors to the detriment of the companies concerned. The consequences are inter alia excessive and unstable prices, lower quality and consequential damages, low innovation and long-term decline in competitiveness within the industry.
Companies should have taken precautions to protect themselves and their employees against corruption in order to ensure a sustainable existence of the corporation.</t>
  </si>
  <si>
    <t>Do programs or processes exist in your company in order to prevent corruption, bribery and granting gifts disproportionally?</t>
  </si>
  <si>
    <t>Are all employees of your company pledged to keep secrets concerning the company and their work confidential and also pledged not to make such secrets public to any third party in any kind of way?</t>
  </si>
  <si>
    <t>Is all computer software used in your company (excluding self-made software) licensed?</t>
  </si>
  <si>
    <t>Do all your computers and data processing equipment come up to the latest national data protection laws and standards?</t>
  </si>
  <si>
    <t xml:space="preserve">Hours of Work (Industry) Convention, 1919 </t>
  </si>
  <si>
    <t>Weekly Rest (Industry) Convention, 1921</t>
  </si>
  <si>
    <t>Minimum Wage-Fixing Machinery Convention, 1928</t>
  </si>
  <si>
    <t>Forced Labour Convention, 1930</t>
  </si>
  <si>
    <t xml:space="preserve">Minimum Age (Industry) Convention (Revised), 1937 </t>
  </si>
  <si>
    <t>Night Work of Young Persons (Non-Industrial Occupations) Convention, 1946</t>
  </si>
  <si>
    <t>Freedom of Association and Protection of the Right to Organise Convention, 1948</t>
  </si>
  <si>
    <t>Right to Organise and Collective Bargaining Convention, 1949</t>
  </si>
  <si>
    <t>Equal Remuneration Convention, 1951</t>
  </si>
  <si>
    <t>Abolition of Forced Labour Convention, 1957</t>
  </si>
  <si>
    <t>Discrimination (Employment and Occupation) Convention, 1958</t>
  </si>
  <si>
    <t>Minimum Wage Fixing Convention, 1970</t>
  </si>
  <si>
    <t>Holidays with Pay Convention (Revised), 1970</t>
  </si>
  <si>
    <t>Workers' Representatives Convention, 1971</t>
  </si>
  <si>
    <t>Minimum Age Convention, 1973</t>
  </si>
  <si>
    <t>Human Resources Development Convention, 1975</t>
  </si>
  <si>
    <t xml:space="preserve">Migrant Workers (Supplementary Provisions) Convention, 1975 
</t>
  </si>
  <si>
    <t>Collective Bargaining Convention, 1981</t>
  </si>
  <si>
    <t>Occupational Safety and Health Convention, 1981</t>
  </si>
  <si>
    <t>Termination of Employment Convention, 1982</t>
  </si>
  <si>
    <t xml:space="preserve">Vocational Rehabilitation and Employment (Disabled Persons) Convention, 1983 
</t>
  </si>
  <si>
    <t>Worst Forms of Child Labour Convention, 1999</t>
  </si>
  <si>
    <t>http://www.ilo.org/ilolex/english/convdisp1.htm</t>
  </si>
  <si>
    <t>Information on social responsibility and legal compliance</t>
  </si>
  <si>
    <t>Information on fair competition</t>
  </si>
  <si>
    <t>Information about the prevention of corruption</t>
  </si>
  <si>
    <t>Data Protection</t>
  </si>
  <si>
    <t>Information on supplier management</t>
  </si>
  <si>
    <t>Managing people</t>
  </si>
  <si>
    <t>Energy</t>
  </si>
  <si>
    <t>3.5</t>
  </si>
  <si>
    <t>3.4</t>
  </si>
  <si>
    <t>Safety</t>
  </si>
  <si>
    <t>Environment</t>
  </si>
  <si>
    <t>Does your company have environmental guidelines or an environmental policy? (if yes, please attach copy)</t>
  </si>
  <si>
    <t>Did you implement a process to control and comply to relevant legal regulations, voluntary agreements with customer, public authorities, industry associations or own company-specific requirements? (e.g. regular audits)</t>
  </si>
  <si>
    <t>Did the environmental performance of your company improve in the last year?</t>
  </si>
  <si>
    <t>Did your company implement a process to continously improve the health and safety performance? (Program/Goals)</t>
  </si>
  <si>
    <t>Did you implement a process to control and comply to relevant legal regulations, voluntary agreements with employees, health authorities, customers or own company-specific requirements? (e.g. regular audits)</t>
  </si>
  <si>
    <t>Do your associates get periodic environmental trainings?</t>
  </si>
  <si>
    <t>Did the health and safety performance of your company improve in the last year?</t>
  </si>
  <si>
    <t>Does your company have guidelines or an energy policy? (if yes, please attach copy)</t>
  </si>
  <si>
    <t>Does your company have health and safety guidelines or a health and safety policy? (if yes, please attach copy)</t>
  </si>
  <si>
    <t>Do your associates get periodic trainings related to energy/energy saving?</t>
  </si>
  <si>
    <t>Do your associates get periodic health and safety related trainings?</t>
  </si>
  <si>
    <t>ISO 17025 (only Laboratory)</t>
  </si>
  <si>
    <t>Website (URL):</t>
  </si>
  <si>
    <t xml:space="preserve">Automotive: </t>
  </si>
  <si>
    <t xml:space="preserve">Trucking: </t>
  </si>
  <si>
    <t>Product+Process approval acc. (AIAG) PPAP</t>
  </si>
  <si>
    <t>Product+Process approval acc. (VDA) PPF</t>
  </si>
  <si>
    <t>*Certificate</t>
  </si>
  <si>
    <t>Please select!</t>
  </si>
  <si>
    <t>Translation</t>
  </si>
  <si>
    <t>Ja</t>
  </si>
  <si>
    <t>Nein</t>
  </si>
  <si>
    <t>Incoterms</t>
  </si>
  <si>
    <t>Vendor Class</t>
  </si>
  <si>
    <t>VC1</t>
  </si>
  <si>
    <t>VC2</t>
  </si>
  <si>
    <t>VC3</t>
  </si>
  <si>
    <t>VC4</t>
  </si>
  <si>
    <t>EXW - Ex Works</t>
  </si>
  <si>
    <t>FCA - Free Carrier</t>
  </si>
  <si>
    <t>CPT - Carriage paid to</t>
  </si>
  <si>
    <t>CIP - Carriage and Insurance paid to</t>
  </si>
  <si>
    <t>DAT - Delivered At Terminal</t>
  </si>
  <si>
    <t>DAP - Delivered At Place</t>
  </si>
  <si>
    <t>DDP - Delivered, Duty paid</t>
  </si>
  <si>
    <t>FAS - Free alongside Ship</t>
  </si>
  <si>
    <t>FOB - Free on Board</t>
  </si>
  <si>
    <t>CFR - Cost and Freight</t>
  </si>
  <si>
    <t>CIF - Cost, Insurance and Freight</t>
  </si>
  <si>
    <t>NOI - No Incoterm</t>
  </si>
  <si>
    <t>Industries Served</t>
  </si>
  <si>
    <t>Major Customers</t>
  </si>
  <si>
    <t>Key/Core Competencies</t>
  </si>
  <si>
    <t>Short Description</t>
  </si>
  <si>
    <t>EDI</t>
  </si>
  <si>
    <t>Contact Person EDI:</t>
  </si>
  <si>
    <t>Selection</t>
  </si>
  <si>
    <t>Land:</t>
  </si>
  <si>
    <t>Abteilung:</t>
  </si>
  <si>
    <t>Internetseite (URL):</t>
  </si>
  <si>
    <t>PLZ, Stadt, Bundesland:</t>
  </si>
  <si>
    <t>Adresse der Betriebsstätte:</t>
  </si>
  <si>
    <t>(including legal form):</t>
  </si>
  <si>
    <t>Company name</t>
  </si>
  <si>
    <t>Contacts</t>
  </si>
  <si>
    <t>Fax-No.:</t>
  </si>
  <si>
    <t>Fax-Nr.:</t>
  </si>
  <si>
    <t>Kontakte</t>
  </si>
  <si>
    <t>Comments</t>
  </si>
  <si>
    <t xml:space="preserve">Minority Certification </t>
  </si>
  <si>
    <t>Available</t>
  </si>
  <si>
    <t>Bitte wählen!</t>
  </si>
  <si>
    <t>Bank Account(s)* – Wire Transfer Mandatory</t>
  </si>
  <si>
    <t>Minority certified</t>
  </si>
  <si>
    <t>Payment term</t>
  </si>
  <si>
    <t>Incoterm</t>
  </si>
  <si>
    <t>ISO 14001</t>
  </si>
  <si>
    <t>ISO 50001</t>
  </si>
  <si>
    <t>IATF 16949</t>
  </si>
  <si>
    <t>ISO 9001</t>
  </si>
  <si>
    <t xml:space="preserve">Customer Approvals / Audits of Facility </t>
  </si>
  <si>
    <t>Application of Quality Management – Methods</t>
  </si>
  <si>
    <t>Usage</t>
  </si>
  <si>
    <t>Verwendung</t>
  </si>
  <si>
    <t>Applicable from (Date)</t>
  </si>
  <si>
    <t>If No, planned date</t>
  </si>
  <si>
    <t>Expiration date</t>
  </si>
  <si>
    <t>Certification Organization</t>
  </si>
  <si>
    <t>Advanced Product Quality Planning (AIAG) APQP / (VDA) RGA</t>
  </si>
  <si>
    <t>Failure Mode and Effects Analysis (FMEA) • Design • Process</t>
  </si>
  <si>
    <t>Regularly</t>
  </si>
  <si>
    <t>Partially</t>
  </si>
  <si>
    <t>Currently not</t>
  </si>
  <si>
    <t>Environmental Management System (e.g. ISO 14001, EMAS III)</t>
  </si>
  <si>
    <t>Energy Management System (e.g. ISO 50001)</t>
  </si>
  <si>
    <t>Did the energy related performance of your company improve in the last year in processes that are relevant for the products to be supplied to BENTELER?</t>
  </si>
  <si>
    <t>Firmenname</t>
  </si>
  <si>
    <t>(inkl. Rechtsform):</t>
  </si>
  <si>
    <t>Sales Manager</t>
  </si>
  <si>
    <t>Quality Manager</t>
  </si>
  <si>
    <t>Logistics Manager</t>
  </si>
  <si>
    <t>Environmental Manager</t>
  </si>
  <si>
    <t>Sustainability - responsible</t>
  </si>
  <si>
    <t>Safety - responsible</t>
  </si>
  <si>
    <t>Information on external social responsibility rating</t>
  </si>
  <si>
    <t>Do you train your employees to raise the understanding of CSR/Sustainability?</t>
  </si>
  <si>
    <t>3.6</t>
  </si>
  <si>
    <t xml:space="preserve">Are your employees informed about the potential hazards and risks of their work and instructed about the corresponding safety measures?  </t>
  </si>
  <si>
    <t>6.2</t>
  </si>
  <si>
    <t>Does your company also require your suppliers to maintain corporate social responsibility standards within the entire supply chain? If yes, please provide evidence.</t>
  </si>
  <si>
    <t>Information on export control</t>
  </si>
  <si>
    <t>8.1</t>
  </si>
  <si>
    <t xml:space="preserve">Any violation of export regulations may lead to significant consequences for the BENTELER Group and its responsible executives and employees. Each company in the BENTELER supply chain must comply with international and national trade laws. Your responsible employees must recognize, understand and comply with all applicable laws, regulations and directives to control international trade and financial transactions. 
</t>
  </si>
  <si>
    <t xml:space="preserve">Do you have an export control system in place at least covering trade restrictions (e.g. embargos, dual use goods, goods on commerce control lists, etc.)?
</t>
  </si>
  <si>
    <t>8.2</t>
  </si>
  <si>
    <t>Do you have a qualified person within your organization in charge of export control matters? If yes, please provide name and e-mail address. Please inform us about any changes.</t>
  </si>
  <si>
    <t>Information on breaches and infrangements</t>
  </si>
  <si>
    <t>Can you confirm that your company has not been convicted to pay fine or penalty during the last 24  months because of violations of the ban of child labor, the ban of forced labor, hindering freedom of association and Antitrust law provisions and that your company is not subject to any preliminary proceedings at the moment?</t>
  </si>
  <si>
    <t>Third-Party Sustainability Rating is attached.</t>
  </si>
  <si>
    <t>Has your company established an own Code of Conduct and the principles of it matches with the principles of BENTELER? If yes, please provide evidence.</t>
  </si>
  <si>
    <t>References: ILO Conventions 29, 105 – Prohibition of forced labor and disciplinary punitive measures</t>
  </si>
  <si>
    <t>References: ILO Conventions 87, 98, 135, 154 – Freedom of association</t>
  </si>
  <si>
    <t>References: www.wassenaar.org; www.nuclearsuppliergroup.org; www.australiagroup.net; www.mtcr.info</t>
  </si>
  <si>
    <t>The use of unlicensed software is prohibited. The intellectual owner of the software can prohibit the use of products made directly or indirectly by the use his or her software.</t>
  </si>
  <si>
    <t>Reference: ILO Convention 132 – Paid vacation</t>
  </si>
  <si>
    <t>References: ILO Conventions 26, 131 – Minimum Income</t>
  </si>
  <si>
    <t>References: ILO Conventions 100, 111, 143, 158, 159 – Non discrimination rule</t>
  </si>
  <si>
    <t>References: ILO Conventions 1, 14 – Working and resting time</t>
  </si>
  <si>
    <t>Reference: ILO Convention 155 – Workplace health and safety</t>
  </si>
  <si>
    <t>List of ILO conventions:</t>
  </si>
  <si>
    <t>Continue with No. 2</t>
  </si>
  <si>
    <t>References: ILO Conventions 59, 79, 138, 142, 182 – Prohibition of child work</t>
  </si>
  <si>
    <t>BENTELER expects that all exchanged data are kept confidential unless the data have already been published elsewhere at the time of exchange; even if the parties (BENTELER and supplier / service provider) have not concluded a general or project specific confidentiality agreement, yet. That can only be guaranteed if all your employees who have access to these data observe their duty to keep business related data confidential and have been pledged in writing by the employer to general secrecy.</t>
  </si>
  <si>
    <t>Data processing systems must be protected against unauthorized access from the outside of the company as well as access by unauthorised persons within the organization. BENTELER expects that suppliers comply with the minimum local statutory requirements for securing electronic data.</t>
  </si>
  <si>
    <t>It shall be ensured that all companies within BENTELER's supply chain from the very beginning until the final client adhere to the applicable laws and observe ethical minimum standards such as outlined in BENTELER’s code of conduct for example. Each company within the supply chain shall contribute as best as possible to achieve this target.</t>
  </si>
  <si>
    <t>7.1</t>
  </si>
  <si>
    <t>9.1</t>
  </si>
  <si>
    <t>10.1</t>
  </si>
  <si>
    <t>Information on sourcing of raw materials</t>
  </si>
  <si>
    <t>(This question is not relevant for service providers.)</t>
  </si>
  <si>
    <t>Companies are expected to conduct due diligence to understand the source of the raw materials used in their products. Providing products that contain raw materials without knowing the origin could lead to contribute to human rights abuses, bribary and ethics violations, or negatively impact the environment.</t>
  </si>
  <si>
    <t>Reference: Responsible Minerals Initiative (www.responsiblemineralsinitiative.org)</t>
  </si>
  <si>
    <t>Name of Company owner / Major owner:</t>
  </si>
  <si>
    <t>Selection2</t>
  </si>
  <si>
    <t>Kommentare</t>
  </si>
  <si>
    <t>Rating</t>
  </si>
  <si>
    <t>Note: BENTELER Automotive Suppliers must maintain a valid insurance covering extended product liability and recall costs to an extent of at least 10 Mio EUR per incident and provide proof accordingly.</t>
  </si>
  <si>
    <t>Total number of points =</t>
  </si>
  <si>
    <t>of</t>
  </si>
  <si>
    <t>*Please indicate Currency</t>
  </si>
  <si>
    <t>% of sales</t>
  </si>
  <si>
    <t>No. 2 not necessary</t>
  </si>
  <si>
    <t>No. 3 not necessary</t>
  </si>
  <si>
    <t>No. 4 not necessary</t>
  </si>
  <si>
    <t>Nr. 2 nicht erforderlich</t>
  </si>
  <si>
    <t>Nr. 3 nicht erforderlich</t>
  </si>
  <si>
    <t>Nr. 4 nicht erforderlich</t>
  </si>
  <si>
    <t>Handelsregisternummer:</t>
  </si>
  <si>
    <t>Name des Firmeninhabers / Haupteigentümers:</t>
  </si>
  <si>
    <t>Jahr</t>
  </si>
  <si>
    <t>*Umsätze</t>
  </si>
  <si>
    <t>*Investitionen</t>
  </si>
  <si>
    <t>*Bitte geben Sie die Währung an</t>
  </si>
  <si>
    <t>Produktion</t>
  </si>
  <si>
    <t>Branchen, die beliefert werden</t>
  </si>
  <si>
    <t>%-Anteil von Umsätzen</t>
  </si>
  <si>
    <t>Kurzbeschreibung:</t>
  </si>
  <si>
    <t>EDI Verbindung vorhanden?</t>
  </si>
  <si>
    <t>EDI Connection available?</t>
  </si>
  <si>
    <t>Kontaktperson für EDI:</t>
  </si>
  <si>
    <t>Risikoabsicherung</t>
  </si>
  <si>
    <t>Vorhanden</t>
  </si>
  <si>
    <t>Wenn nicht, zu wann geplant?</t>
  </si>
  <si>
    <t>Deckungssumme</t>
  </si>
  <si>
    <t>Betriebshaftpflichtversicherung</t>
  </si>
  <si>
    <t>Hinweis: BENTELER Automobilzulieferer müssen eine gültige Versicherung zur Deckung der erweiterten Produkthaftung und Rückrufkosten in Höhe von mindestens 10 Mio. EUR pro Vorfall führen und dies nachweisen.</t>
  </si>
  <si>
    <t>Ablaufdatum:</t>
  </si>
  <si>
    <t>Typ</t>
  </si>
  <si>
    <t>Name der Bank &amp; Adresse</t>
  </si>
  <si>
    <t>IBAN</t>
  </si>
  <si>
    <t>Zahlungsbedingungen</t>
  </si>
  <si>
    <t>*Zertifikat</t>
  </si>
  <si>
    <t xml:space="preserve">Kundenfreigaben / Audits von Anlagen </t>
  </si>
  <si>
    <t>Kundenname</t>
  </si>
  <si>
    <t>Datum</t>
  </si>
  <si>
    <t>Ergebnis</t>
  </si>
  <si>
    <t>Anwendbar ab (Datum)</t>
  </si>
  <si>
    <t>Andere Methoden:</t>
  </si>
  <si>
    <t>Regelmäßig</t>
  </si>
  <si>
    <t>Teilweise</t>
  </si>
  <si>
    <t>Zur Zeit nicht</t>
  </si>
  <si>
    <t>Umwelt Management System (z.B. ISO 14001, EMAS III)</t>
  </si>
  <si>
    <t>Umwelt</t>
  </si>
  <si>
    <t>Hat Ihr Unternehmen einen Prozess zur kontinuierlichen Verbesserung der Umweltleistung implementiert? (Programm/Ziele)</t>
  </si>
  <si>
    <t>Haben Sie einen Prozess zur Kontrolle und Einhaltung der relevanten gesetzlichen Vorschriften, freiwilliger Vereinbarungen mit Kunden, Behörden, Verbänden oder eigenen unternehmensspezifischen Anforderungen implementiert? (z.B. regelmäßige Audits)</t>
  </si>
  <si>
    <t>Erhalten Ihre Mitarbeiter regelmäßig Umweltschulungen?</t>
  </si>
  <si>
    <t>x</t>
  </si>
  <si>
    <t>(x)</t>
  </si>
  <si>
    <t>-</t>
  </si>
  <si>
    <t>General Supply Contract</t>
  </si>
  <si>
    <t>On Site Assessment</t>
  </si>
  <si>
    <t>Passed</t>
  </si>
  <si>
    <t>Conditions:</t>
  </si>
  <si>
    <t>Minority Certification</t>
  </si>
  <si>
    <t>Kontonummer</t>
  </si>
  <si>
    <t>Bankkonto(-konten)* - Banküberweisung obligatorisch</t>
  </si>
  <si>
    <t>Methoden</t>
  </si>
  <si>
    <t>Prozess- und Herstellbarkeitsanalysen</t>
  </si>
  <si>
    <t>Produkt+Prozessfreigabe nach (AIAG) PPAP</t>
  </si>
  <si>
    <t>Produkt+Prozessfreigabe nach (VDA) PPF</t>
  </si>
  <si>
    <t>Qualitätsvorausplanung (AIAG) APQP / (VDA) RGA</t>
  </si>
  <si>
    <t>Fehlermöglichkeits- und -einflussanalyse (eng. FMEA)  • Design • Prozess</t>
  </si>
  <si>
    <t>Sicherheit</t>
  </si>
  <si>
    <t>Energie</t>
  </si>
  <si>
    <t>Hat sich die Umweltleistung Ihres Unternehmens im letzten Jahr verbessert?</t>
  </si>
  <si>
    <t>Hat Ihr Unternehmen einen Prozess zur kontinuierlichen Verbesserung der Gesundheits- und Sicherheitsperformance implementiert? (Programm/Ziele)</t>
  </si>
  <si>
    <t>Haben Sie einen Prozess zur Kontrolle und Einhaltung relevanter gesetzlicher Vorschriften, freiwilliger Vereinbarungen mit Mitarbeitern, Gesundheitsbehörden, Kunden oder eigener unternehmensspezifischer Anforderungen implementiert? (z.B. regelmäßige Audits)</t>
  </si>
  <si>
    <t>Erhalten Ihre Mitarbeiter regelmäßig Schulungen zum Thema Gesundheit und Sicherheit?</t>
  </si>
  <si>
    <t>Hat sich die Leistung Ihres Unternehmens im Bereich Gesundheit und Sicherheit im letzten Jahr verbessert?</t>
  </si>
  <si>
    <t>Hat Ihr Unternehmen einen Prozess zur kontinuierlichen Verbesserung der energiebezogenen Leistung implementiert? (Programm/Ziele)</t>
  </si>
  <si>
    <t>Erhalten Ihre Mitarbeiter regelmäßige Schulungen zum Thema Energie/Energieeinsparung?</t>
  </si>
  <si>
    <t>Hat sich die energiebezogene Leistung Ihres Unternehmens im letzten Jahr in Prozessen verbessert, die für die an BENTELER zu liefernden Produkte relevant sind?</t>
  </si>
  <si>
    <t>Informationen zur externen Bewertung der sozialen Verantwortung</t>
  </si>
  <si>
    <t>Das Nachhaltigkeitsrating eines Drittanbieters ist beigefügt.</t>
  </si>
  <si>
    <t>Informationen zur sozialen Verantwortung und Gesetzeskonformität</t>
  </si>
  <si>
    <t>Hat Ihr Unternehmen einen eigenen Verhaltenskodex aufgestellt und dessen Prinzipien entsprechen den Prinzipien von BENTELER? Wenn ja, legen Sie bitte Nachweise vor.</t>
  </si>
  <si>
    <t>Schulen Sie Ihre Mitarbeiter, um das Verständnis für CSR/Nachhaltigkeit zu stärken?</t>
  </si>
  <si>
    <t>Ist es in Ihrem Unternehmen insbesondere verboten, Kinderarbeit anzuwenden (Kinderarbeit nach den Bestimmungen des nationalen Rechts)?</t>
  </si>
  <si>
    <t>Ist es in Ihrem Unternehmen verboten, Zwangsarbeit zu leisten?</t>
  </si>
  <si>
    <t>Referenzen: ILO Konventionen 87, 98, 135, 154 - Vereinigungsfreiheit</t>
  </si>
  <si>
    <t>Entspricht die Vereinigungsfreiheit den nationalen Gesetzen, die in Ihrem Unternehmen gelten?</t>
  </si>
  <si>
    <t>Mitarbeiterführung</t>
  </si>
  <si>
    <t>Die Arbeitnehmer sind schriftlich über ihre Rechte und Pflichten innerhalb des Unternehmens und gegenüber ihrem Arbeitgeber zu informieren. Insbesondere Arbeitszeit, Urlaub und Vergütung werden schriftlich vereinbart.</t>
  </si>
  <si>
    <t>Hat Ihr Unternehmen mit allen Ihren Mitarbeitern Arbeitsverträge abgeschlossen?</t>
  </si>
  <si>
    <t>Referenzen: ILO Konventionen 1, 14 - Arbeitszeit und Ruhezeiten</t>
  </si>
  <si>
    <t>Entspricht die Arbeitszeit in Ihrem Unternehmen dem nationalen Recht und den nationalen Normen der jeweiligen Branche?</t>
  </si>
  <si>
    <t>Referenzen: ILO Konventionen 100, 111, 143, 158, 159 - Antidiskriminierungsregel</t>
  </si>
  <si>
    <t>Können Sie mit hinreichender Sicherheit ausschließen, dass Mitglieder von Minderheitengruppen in Ihrem Unternehmen in irgendeiner Weise diskriminiert werden? Gibt es Programme, um einer möglichen Diskriminierung entgegenzuwirken?</t>
  </si>
  <si>
    <t>Verdienen alle Mitarbeiter Ihres Unternehmens mindestens das gesetzliche Mindesteinkommen?</t>
  </si>
  <si>
    <t>Referenzen: ILO Konventionen 132 - Bezahlter Urlaub</t>
  </si>
  <si>
    <t>Gewährt Ihr Unternehmen allen Mitarbeitern bezahlten Urlaub?</t>
  </si>
  <si>
    <t>Referenz: ILO Konvention 155 - Gesund- und Sicherheit am Arbeitsplatz</t>
  </si>
  <si>
    <t>Werden Ihre Mitarbeiter über die möglichen Gefahren und Risiken ihrer Arbeit und über die entsprechenden Sicherheitsmaßnahmen informiert?</t>
  </si>
  <si>
    <t>Informationen über fairen Wettbewerb</t>
  </si>
  <si>
    <t>Das Kartellrecht zielt auf den Schutz eines auf Angebot und Nachfrage basierenden freien Marktsystems ab, das eines der Grundprinzipien unserer Gesellschaft und unserer Wirtschaft ist und Wachstum und Arbeitsplätze schafft. Gesetze sollen Wettbewerbsbeschränkungen verhindern und ein einheitliches Regelwerk für alle Marktteilnehmer festlegen. Unternehmen sind für die Einhaltung dieser Vorschriften verantwortlich. Die Nichteinhaltung dieser Gesetze kann zu Straf- und Verwaltungsstrafen, Freiheitsstrafen und zivilrechtlichen Schadenersatzklagen gegen das Unternehmen, seine einzelnen leitenden Angestellten, Geschäftsführer und beteiligten Mitarbeiter führen. Die Höhe von Schadenersatz und Bußgeldern kann den Fortbestand des Unternehmens gefährden.</t>
  </si>
  <si>
    <t>Gibt es in Ihrem Unternehmen Programme oder Prozesse, um Verstöße gegen das Kartellrecht zu vermeiden und einen fairen Wettbewerb zu unterstützen?</t>
  </si>
  <si>
    <t>Informationen über die Prävention von Korruption</t>
  </si>
  <si>
    <t>Gibt es in Ihrem Unternehmen Programme oder Prozesse, um Korruption, Bestechung und unverhältnismäßige Geschenke zu verhindern?</t>
  </si>
  <si>
    <t>Datenschutz</t>
  </si>
  <si>
    <t>BENTELER erwartet, dass alle ausgetauschten Daten vertraulich behandelt werden, es sei denn, die Daten sind zum Zeitpunkt des Austausches bereits an anderer Stelle veröffentlicht worden; auch wenn die Parteien (BENTELER und Lieferant / Dienstleister) noch keine allgemeine oder projektspezifische Geheimhaltungsvereinbarung getroffen haben. Dies kann nur gewährleistet werden, wenn alle Ihre Mitarbeiter, die Zugang zu diesen Daten haben, ihre Pflicht zur Wahrung der Vertraulichkeit geschäftsbezogener Daten einhalten und vom Arbeitgeber schriftlich zur allgemeinen Geheimhaltung verpflichtet wurden.</t>
  </si>
  <si>
    <t>Sind alle Mitarbeiter Ihres Unternehmens verpflichtet, Betriebsgeheimnisse und deren Arbeit vertraulich zu behandeln und diese auch in keiner Weise Dritten zugänglich zu machen?</t>
  </si>
  <si>
    <t>Die Verwendung von nicht lizenzierter Software ist untersagt. Der geistige Eigentümer der Software kann die Verwendung von Produkten verbieten, die direkt oder indirekt durch die Verwendung seiner Software hergestellt wurden.</t>
  </si>
  <si>
    <t>Ist die gesamte in Ihrem Unternehmen verwendete Computersoftware (mit Ausnahme der selbst erstellten Software) lizenziert?</t>
  </si>
  <si>
    <t>Datenverarbeitungssysteme müssen vor unbefugtem Zugriff von außerhalb des Unternehmens sowie vor dem Zugriff unbefugter Personen innerhalb des Unternehmens geschützt werden. BENTELER erwartet, dass die Lieferanten die lokalen gesetzlichen Mindestanforderungen zur Sicherung elektronischer Daten erfüllen.</t>
  </si>
  <si>
    <t>Entsprechen alle Ihre Computer und Datenverarbeitungsanlagen den neuesten nationalen Datenschutzgesetzen und -standards?</t>
  </si>
  <si>
    <t>Informationen zu Lieferantenmanagement</t>
  </si>
  <si>
    <t>Es ist sicherzustellen, dass alle Unternehmen innerhalb der Lieferkette von BENTELER von Anfang an bis zum Endkunden die geltenden Gesetze einhalten und ethische Mindeststandards einhalten, wie sie beispielsweise im Verhaltenskodex von BENTELER festgelegt sind. Jedes Unternehmen innerhalb der Lieferkette soll so gut wie möglich zur Erreichung dieses Ziels beitragen.</t>
  </si>
  <si>
    <t>Verlangt Ihr Unternehmen auch von Ihren Zulieferern, dass sie die Standards der Corporate Social Responsibility innerhalb der gesamten Lieferkette einhalten? Wenn ja, legen Sie bitte Nachweise vor.</t>
  </si>
  <si>
    <t xml:space="preserve">Ein Verstoß gegen die Exportbestimmungen kann erhebliche Folgen für die BENTELER-Gruppe und ihre verantwortlichen Führungskräfte und Mitarbeiter haben. Jedes Unternehmen in der BENTELER Lieferkette muss die internationalen und nationalen Handelsgesetze einhalten. Ihre verantwortlichen Mitarbeiter müssen alle geltenden Gesetze, Vorschriften und Richtlinien zur Kontrolle internationaler Handels- und Finanztransaktionen anerkennen, verstehen und einhalten. </t>
  </si>
  <si>
    <t>Referenzen: www.wassenaar.org; www. Nuclearsuppliergroup.org; www.australiagroup.net; www.mtcr.info</t>
  </si>
  <si>
    <t>Verfügen Sie über ein Ausfuhrkontrollsystem, das zumindest Handelsbeschränkungen abdeckt (z.B. Embargos, Dual-Use-Güter, Waren auf Handelskontrolllisten usw.)?</t>
  </si>
  <si>
    <t>Haben Sie in Ihrem Unternehmen eine qualifizierte Person, die für Fragen der Exportkontrolle zuständig ist? Wenn ja, geben Sie bitte Namen und E-Mail-Adresse an. Bitte informieren Sie uns über Änderungen.</t>
  </si>
  <si>
    <t>Informationen über Rechtsverletzungen</t>
  </si>
  <si>
    <t>Können Sie bestätigen, dass Ihr Unternehmen in den letzten 24 Monaten wegen Verstößen gegen das Verbot von Kinderarbeit, das Verbot von Zwangsarbeit, die Behinderung der Vereinigungsfreiheit und kartellrechtliche Bestimmungen nicht zur Zahlung von Bußgeldern verurteilt wurde und dass Ihr Unternehmen derzeit keinem Ermittlungsverfahren unterliegt?</t>
  </si>
  <si>
    <t>Informationen zur Beschaffung von Rohstoffen</t>
  </si>
  <si>
    <t>(Diese Frage ist für Dienstleister nicht relevant.)</t>
  </si>
  <si>
    <t>Von den Unternehmen wird erwartet, dass sie Ihrer Sorgfaltspflicht nachkommen, um die Herkunft, der in ihren Produkten verwendeten Rohstoffe, zu verstehen. Die Bereitstellung von Produkten, die Rohstoffe enthalten, ohne dessen Herkunft zu kennen, könnte zu Menschenrechtsverletzungen, Bestechungs- und Ethikverletzungen oder negativen Auswirkungen auf die Umwelt führen.</t>
  </si>
  <si>
    <t>Referenz: Responsible Minerals Initiative (www.responsiblemineralsinitiative.org)</t>
  </si>
  <si>
    <t>Automotive:</t>
  </si>
  <si>
    <t>Bankleitzahl</t>
  </si>
  <si>
    <t>Sicherheitsbeauftragter</t>
  </si>
  <si>
    <t>Nachhaltigkeitsbeauftragter</t>
  </si>
  <si>
    <t>Hauptkundengruppe</t>
  </si>
  <si>
    <t>ISO 17025 (nur für Labore)</t>
  </si>
  <si>
    <t>Zertifizierungsstelle</t>
  </si>
  <si>
    <t>Anwendung von Quality Management Methoden</t>
  </si>
  <si>
    <t>Detaillierte Problemlösungsmethoden und Tools (5x Why, Ishikawa Diagramm, etc.)</t>
  </si>
  <si>
    <t>Hat Ihr Unternehmen eine Umweltrichtlinie oer eine Umweltpolitik? (wenn ja, bitte Kopie beifügen)</t>
  </si>
  <si>
    <t>Hat Ihr Unternehmen Gesundheits- und Sicherheitsrichtlinien oder eine Gesundheits- und Sicherheitspolitik? (wenn ja, bitte Kopie beifügen)</t>
  </si>
  <si>
    <t>Hat Ihr Unternehmen eine Energierichtlinie oder -politik? (wenn ja, bitte Kopie beifügen)</t>
  </si>
  <si>
    <t>Did you implement a process to control and comply to relevant legal regulations, voluntary agreements with customers etc. ? (e.g. on-site inspections, regular audits)</t>
  </si>
  <si>
    <r>
      <t>Haben Sie einen Prozess zur Kontrolle und Einhaltung der relevanten gesetzlichen Vorschriften, freiwilligen Vereinbarungen mit Kunden etc. implementiert? (z.B. Vor-Ort-Prüfungen</t>
    </r>
    <r>
      <rPr>
        <sz val="10"/>
        <rFont val="Arial"/>
        <family val="2"/>
      </rPr>
      <t>, Audits)</t>
    </r>
  </si>
  <si>
    <t>Referenzen: ILO Konventionen 26, 131 - Mindesteinkommen</t>
  </si>
  <si>
    <t>Korruption ist weltweit weitgehend verboten. Korruption führt zu wirtschaftlichen Entscheidungen, die nicht nach dem freien Spiel von Angebot und Nachfrage, sondern durch den Missbrauch der persönlichen Macht zum privaten Nutzen der Akteure, zum Nachteil der betroffenen Unternehmen getroffen werden. Die Folgen sind unter anderem überhöhte und instabile Preise, geringere Qualität und Folgeschäden, geringe Innovationsfähigkeit und langfristig Rückgang der Wettbewerbsfähigkeit innerhalb der Branche.
Unternehmen sollten Vorkehrungen getroffen haben, um sich und ihre Mitarbeiter vor Korruption zu schützen, um eine nachhaltige Existenz des Unternehmens zu gewährleisten.</t>
  </si>
  <si>
    <t>Informationen zu Exportkontrolle</t>
  </si>
  <si>
    <t>a)</t>
  </si>
  <si>
    <t>b)</t>
  </si>
  <si>
    <t>Please fill in all grey cells.</t>
  </si>
  <si>
    <t>Referenzen: ILO Konventionen 29, 105 - Verbot von Zwangsarbeit und disziplinarischen Sanktionsmaßnahmen</t>
  </si>
  <si>
    <t>Referenzen: ILO Konventionen 59, 79, 138, 142, 182 - Verbot von Kinderarbeit</t>
  </si>
  <si>
    <t>Please select in Section C Quality whether your company holds the listed certificates and add the required information in the grey cells.</t>
  </si>
  <si>
    <t>Umsatzsteuer-Identikationsnummer:</t>
  </si>
  <si>
    <t>Bitte füllen Sie alle ausgegrauten Felder.</t>
  </si>
  <si>
    <t>History of tool changes</t>
  </si>
  <si>
    <t>Version</t>
  </si>
  <si>
    <t>Changes</t>
  </si>
  <si>
    <t>Modified by</t>
  </si>
  <si>
    <t>Nutzfahrzeuge:</t>
  </si>
  <si>
    <t>Energie Management System (z.B. ISO 50001)</t>
  </si>
  <si>
    <t>Supplier Approval Form</t>
  </si>
  <si>
    <t>Lieferantenfreigabeformular</t>
  </si>
  <si>
    <t>Supplier Information:</t>
  </si>
  <si>
    <t>Lieferanteninformation:</t>
  </si>
  <si>
    <t>Information Required</t>
  </si>
  <si>
    <t>Erforderliche Informationen</t>
  </si>
  <si>
    <t>Rahmenliefervertrag</t>
  </si>
  <si>
    <t>VC Requirements</t>
  </si>
  <si>
    <t>VDA 6.1</t>
  </si>
  <si>
    <t>TechKlasse</t>
  </si>
  <si>
    <t>TCAB0000</t>
  </si>
  <si>
    <t>Ball Joints / Stabi Links</t>
  </si>
  <si>
    <t>TCACF000</t>
  </si>
  <si>
    <t>Casting (Ferrous)</t>
  </si>
  <si>
    <t>TCACI000</t>
  </si>
  <si>
    <t>Investment Casting</t>
  </si>
  <si>
    <t>TCACN000</t>
  </si>
  <si>
    <t>Castings (Non-Ferrous)</t>
  </si>
  <si>
    <t>TCAFF000</t>
  </si>
  <si>
    <t>Forgings, Ferrous</t>
  </si>
  <si>
    <t>TCAFN000</t>
  </si>
  <si>
    <t>Forgings, Aluminum</t>
  </si>
  <si>
    <t>TCAMA000</t>
  </si>
  <si>
    <t>Shock Absorbers</t>
  </si>
  <si>
    <t>TCAMAT000</t>
  </si>
  <si>
    <t>Transmission</t>
  </si>
  <si>
    <t>TCAMB000</t>
  </si>
  <si>
    <t>Brakes &amp; Accessories</t>
  </si>
  <si>
    <t>TCAMB001</t>
  </si>
  <si>
    <t>Brake Pipe / Brake Hose</t>
  </si>
  <si>
    <t>TCAMC000</t>
  </si>
  <si>
    <t>Steering Systems</t>
  </si>
  <si>
    <t>TCAMD000</t>
  </si>
  <si>
    <t>Drive Shafts</t>
  </si>
  <si>
    <t>TCAMF000</t>
  </si>
  <si>
    <t>ZSB Modul Components</t>
  </si>
  <si>
    <t>TCAMS000</t>
  </si>
  <si>
    <t>Springs &amp; Stabilizers</t>
  </si>
  <si>
    <t>TCAMW000</t>
  </si>
  <si>
    <t>Bearings</t>
  </si>
  <si>
    <t>TCAP0000</t>
  </si>
  <si>
    <t>Plastics, Rubber</t>
  </si>
  <si>
    <t>TCAR0000</t>
  </si>
  <si>
    <t>Rubber-Metal</t>
  </si>
  <si>
    <t>TCCCM000</t>
  </si>
  <si>
    <t>Machinery &amp; Equipment</t>
  </si>
  <si>
    <t>TCCCT000</t>
  </si>
  <si>
    <t>Measuring &amp; Test Equipment</t>
  </si>
  <si>
    <t>TCEE0000</t>
  </si>
  <si>
    <t>Electrical Systems</t>
  </si>
  <si>
    <t>TCEEC000</t>
  </si>
  <si>
    <t>Electronic Control Units</t>
  </si>
  <si>
    <t>TCEEM000</t>
  </si>
  <si>
    <t>Electric Motors</t>
  </si>
  <si>
    <t>TCEWA000</t>
  </si>
  <si>
    <t>Cutting</t>
  </si>
  <si>
    <t>TCEWG001</t>
  </si>
  <si>
    <t>TCEWH000</t>
  </si>
  <si>
    <t>Heat Treatment</t>
  </si>
  <si>
    <t>TCEWM000</t>
  </si>
  <si>
    <t>TCEWS000</t>
  </si>
  <si>
    <t>Surface Treatment Service</t>
  </si>
  <si>
    <t>TCEWSV02</t>
  </si>
  <si>
    <t>Surface Treatment, De-Painting</t>
  </si>
  <si>
    <t>TCEXA000</t>
  </si>
  <si>
    <t>EGR Valves</t>
  </si>
  <si>
    <t>TCEXC000</t>
  </si>
  <si>
    <t>Catalytic Converters</t>
  </si>
  <si>
    <t>TCEXD000</t>
  </si>
  <si>
    <t>Dampers</t>
  </si>
  <si>
    <t>TCEXF000</t>
  </si>
  <si>
    <t>Fittings</t>
  </si>
  <si>
    <t>TCEXS000</t>
  </si>
  <si>
    <t>EES Special Parts</t>
  </si>
  <si>
    <t>TCEXW000</t>
  </si>
  <si>
    <t>Gaskets</t>
  </si>
  <si>
    <t>TCEXX000</t>
  </si>
  <si>
    <t>Mats / Isolation</t>
  </si>
  <si>
    <t>TCIAC000</t>
  </si>
  <si>
    <t>Lubricants</t>
  </si>
  <si>
    <t>TCIAS000</t>
  </si>
  <si>
    <t>Surface Treatment Material</t>
  </si>
  <si>
    <t>TCIAW000</t>
  </si>
  <si>
    <t>Welding/Soldering Consumables</t>
  </si>
  <si>
    <t>TCILO004</t>
  </si>
  <si>
    <t>TCILP000</t>
  </si>
  <si>
    <t>Packaging Units</t>
  </si>
  <si>
    <t>TCILT000</t>
  </si>
  <si>
    <t>Transport</t>
  </si>
  <si>
    <t>TCISH000</t>
  </si>
  <si>
    <t>HR Services</t>
  </si>
  <si>
    <t>TCMDI000</t>
  </si>
  <si>
    <t>Stamping Dies,Inhouse Tooling (Benteler)</t>
  </si>
  <si>
    <t>TCMFF000</t>
  </si>
  <si>
    <t>Connecting Elements</t>
  </si>
  <si>
    <t>TCMFS000</t>
  </si>
  <si>
    <t>Sintered parts</t>
  </si>
  <si>
    <t>TCMP0000</t>
  </si>
  <si>
    <t>Press Parts</t>
  </si>
  <si>
    <t>TCMP0002</t>
  </si>
  <si>
    <t>Press Parts, Assy</t>
  </si>
  <si>
    <t>TCMP0003</t>
  </si>
  <si>
    <t>Press Parts, Fine Blank</t>
  </si>
  <si>
    <t>TCMP0004</t>
  </si>
  <si>
    <t>Press Parts, Deep Drawn</t>
  </si>
  <si>
    <t>TCMP0005</t>
  </si>
  <si>
    <t>Rolled Tubular Parts</t>
  </si>
  <si>
    <t>TCMT0000</t>
  </si>
  <si>
    <t>Tubes / Profiles</t>
  </si>
  <si>
    <t>TCMTT000</t>
  </si>
  <si>
    <t>Blooms</t>
  </si>
  <si>
    <t>TCRA0000</t>
  </si>
  <si>
    <t>Aluminium</t>
  </si>
  <si>
    <t>TCRB0000</t>
  </si>
  <si>
    <t>Tailor Blanks</t>
  </si>
  <si>
    <t>TCRGW000</t>
  </si>
  <si>
    <t>Car Windows</t>
  </si>
  <si>
    <t>TCRM0000</t>
  </si>
  <si>
    <t>Magnesium</t>
  </si>
  <si>
    <t>TCRSF000</t>
  </si>
  <si>
    <t>Steel</t>
  </si>
  <si>
    <t>TCRSLC00</t>
  </si>
  <si>
    <t>Billets / Slabs</t>
  </si>
  <si>
    <t>TCSAC000</t>
  </si>
  <si>
    <t>Coal</t>
  </si>
  <si>
    <t>TCSAX000</t>
  </si>
  <si>
    <t>Lime</t>
  </si>
  <si>
    <t>TCSC0000</t>
  </si>
  <si>
    <t>Primary Material</t>
  </si>
  <si>
    <t>TCSG0000</t>
  </si>
  <si>
    <t>Technical Gases</t>
  </si>
  <si>
    <t>TCSSA000</t>
  </si>
  <si>
    <t>Scrap Puchasing</t>
  </si>
  <si>
    <t>TCT00000</t>
  </si>
  <si>
    <t>Tooling</t>
  </si>
  <si>
    <t>Kugelgelenke, Stabianlenkungen</t>
  </si>
  <si>
    <t>Gummi-Metall</t>
  </si>
  <si>
    <t>Elektrische Systeme</t>
  </si>
  <si>
    <t>Technische Gase</t>
  </si>
  <si>
    <t>Werkzeuge</t>
  </si>
  <si>
    <t>Verbindungselemente</t>
  </si>
  <si>
    <t>Pressteile</t>
  </si>
  <si>
    <t>Rohre / Profile</t>
  </si>
  <si>
    <t>Platinen Tailor</t>
  </si>
  <si>
    <t>Stahl</t>
  </si>
  <si>
    <t>Gussteile (Ferrous)</t>
  </si>
  <si>
    <t>Gussteile (Non-Ferrous)</t>
  </si>
  <si>
    <t>Feinguss</t>
  </si>
  <si>
    <t>Schmiedeteile, Ferrous</t>
  </si>
  <si>
    <t>Stoßdämpfer</t>
  </si>
  <si>
    <t>Bremskomponenten</t>
  </si>
  <si>
    <t>Lenksysteme</t>
  </si>
  <si>
    <t>Abtriebswellen</t>
  </si>
  <si>
    <t>ZSB Modulkomponenten</t>
  </si>
  <si>
    <t>Federn / Stabilisatoren</t>
  </si>
  <si>
    <t>Getriebe</t>
  </si>
  <si>
    <t>Radlager</t>
  </si>
  <si>
    <t>Steuergeräte</t>
  </si>
  <si>
    <t>Elektromotoren</t>
  </si>
  <si>
    <t>AGR Ventile</t>
  </si>
  <si>
    <t>Katalysatoren</t>
  </si>
  <si>
    <t>Kompensatoren</t>
  </si>
  <si>
    <t>Zubehör</t>
  </si>
  <si>
    <t>EES, Sonderteile</t>
  </si>
  <si>
    <t>Dichtungen</t>
  </si>
  <si>
    <t>Maschinen &amp; Anlagen</t>
  </si>
  <si>
    <t>Mess- und Prüfmittel</t>
  </si>
  <si>
    <t>Trennen</t>
  </si>
  <si>
    <t>Wärmebehandlung</t>
  </si>
  <si>
    <t>Mechanische Bearbeitung</t>
  </si>
  <si>
    <t>Schmiermittel</t>
  </si>
  <si>
    <t>Oberflächenbehandlung</t>
  </si>
  <si>
    <t>Schweiß- und Lötstoffe</t>
  </si>
  <si>
    <t>Verpackungen</t>
  </si>
  <si>
    <t>Transportdienstleistungen</t>
  </si>
  <si>
    <t>Personal-Dienstleistungen</t>
  </si>
  <si>
    <t>Presswerkzeuge, intern (Benteler)</t>
  </si>
  <si>
    <t>Sinterteile</t>
  </si>
  <si>
    <t>Luppen</t>
  </si>
  <si>
    <t>Autoglas</t>
  </si>
  <si>
    <t>Kohle</t>
  </si>
  <si>
    <t>Kalk</t>
  </si>
  <si>
    <t>Schrotteinkauf</t>
  </si>
  <si>
    <t>Bremsleitung / Bremsschlauch</t>
  </si>
  <si>
    <t>Oberflächenbearbeitung, Entlacken</t>
  </si>
  <si>
    <t>Matten / Isolierungen</t>
  </si>
  <si>
    <t>Pressteile, ZSB</t>
  </si>
  <si>
    <t>Feinschneidteile</t>
  </si>
  <si>
    <t>Tiefziehteile</t>
  </si>
  <si>
    <t>Gerollte Hülsen</t>
  </si>
  <si>
    <t>Knüppel / Brammen</t>
  </si>
  <si>
    <t>Primär Material</t>
  </si>
  <si>
    <t xml:space="preserve">Join the BENTELER-Pool </t>
  </si>
  <si>
    <t>Special approval:</t>
  </si>
  <si>
    <t>Requirement</t>
  </si>
  <si>
    <t>Anforderung</t>
  </si>
  <si>
    <t>Proof of Insurance</t>
  </si>
  <si>
    <t>Versicherungsprüfung</t>
  </si>
  <si>
    <t>BENTELER Supplier Quality Requirement</t>
  </si>
  <si>
    <t>BENTELER Lieferanten Qualitätsanforderung (BSQR)</t>
  </si>
  <si>
    <t xml:space="preserve">D&amp;B Assessment </t>
  </si>
  <si>
    <t>D&amp;B Bewertung</t>
  </si>
  <si>
    <t xml:space="preserve">Supplier Logistic Manual </t>
  </si>
  <si>
    <t>Lieferanten Logistik Handbuch</t>
  </si>
  <si>
    <t>Bewertung</t>
  </si>
  <si>
    <t>green</t>
  </si>
  <si>
    <t>grün</t>
  </si>
  <si>
    <t>gelb</t>
  </si>
  <si>
    <t>yellow</t>
  </si>
  <si>
    <t>HZP No.:</t>
  </si>
  <si>
    <t>HZP Nr.:</t>
  </si>
  <si>
    <t>Tritt dem BENTELER-Pool bei</t>
  </si>
  <si>
    <t>PSB / Produktsicherheitsbeauftragter</t>
  </si>
  <si>
    <t>PSB / Product Safety Representative</t>
  </si>
  <si>
    <t>Sonderfreigabe:</t>
  </si>
  <si>
    <t>Risk Indicator:</t>
  </si>
  <si>
    <t>Failure Score:</t>
  </si>
  <si>
    <t>Fehlerbewertung:</t>
  </si>
  <si>
    <t>Risikoindikator:</t>
  </si>
  <si>
    <t>Supplier Assessment on site</t>
  </si>
  <si>
    <t>Lieferantenbewertung vor Ort</t>
  </si>
  <si>
    <t>rot</t>
  </si>
  <si>
    <t>red</t>
  </si>
  <si>
    <t>Vor Ort Bewertung</t>
  </si>
  <si>
    <t>Bestanden</t>
  </si>
  <si>
    <t>Stellen Sie sicher, dass alle Nachweise, Unterschriften und die HZP-Nr. für Abschnitt C und D vorliegen. 
!!! Die Zulassung ist nur für bestimmte Technologieklassen/es gültig !!!</t>
  </si>
  <si>
    <t>Make sure that all evidence documents, signatures and HZP No. for section C and D are available. 
!!! Approval is valid for specified Technology Class/es only !!!</t>
  </si>
  <si>
    <t>Name</t>
  </si>
  <si>
    <t>Buyer Code:</t>
  </si>
  <si>
    <t>Einkäufer Gruppe:</t>
  </si>
  <si>
    <t>Lieferantenklasse:</t>
  </si>
  <si>
    <t>Vendor Class:</t>
  </si>
  <si>
    <t xml:space="preserve">Verbindlich*: </t>
  </si>
  <si>
    <t>Mandatory*:</t>
  </si>
  <si>
    <t>x¹</t>
  </si>
  <si>
    <t>x²/(x)</t>
  </si>
  <si>
    <t>General Terms and Conditions</t>
  </si>
  <si>
    <t>Allgemeine Geschäftsbedingungen</t>
  </si>
  <si>
    <t>* x = ja; - = nein; (x) = kann; x¹ = nur VW, BMW Lieferkette; x² = nur für Serienlieferungen</t>
  </si>
  <si>
    <t>* x = yes; - = no; (x) = can; x¹ = only VW, BMW supply chain; x² = only for serial supply</t>
  </si>
  <si>
    <t xml:space="preserve">VDA 6.3 Potentialanalyse P1 </t>
  </si>
  <si>
    <t>(Selbst-Audit)</t>
  </si>
  <si>
    <t xml:space="preserve">VDA 6.3 Potential Analysis P1 </t>
  </si>
  <si>
    <t>(self-audit)</t>
  </si>
  <si>
    <t>!!! For use by BENTELER only !!!</t>
  </si>
  <si>
    <t>!!! Nur zur BENTELER Verwendung !!!</t>
  </si>
  <si>
    <t>Approved</t>
  </si>
  <si>
    <t>Conditionally Approved</t>
  </si>
  <si>
    <t>Not Approved</t>
  </si>
  <si>
    <t>Freigegeben</t>
  </si>
  <si>
    <t>Bedingt freigegeben</t>
  </si>
  <si>
    <t>Nicht freigegeben</t>
  </si>
  <si>
    <t>Approval</t>
  </si>
  <si>
    <t>Bedingungen:</t>
  </si>
  <si>
    <t>Decision</t>
  </si>
  <si>
    <t>Entscheidung</t>
  </si>
  <si>
    <t>Approval status:</t>
  </si>
  <si>
    <t>Freigabestatus:</t>
  </si>
  <si>
    <t>BENTELER Lieferanten (Vendor) Nr.:</t>
  </si>
  <si>
    <t>BENTELER Supplier (Vendor) No.:</t>
  </si>
  <si>
    <t>Assigned SQE</t>
  </si>
  <si>
    <t>Zugeordneter SQE</t>
  </si>
  <si>
    <t>Decision by:</t>
  </si>
  <si>
    <t>Entscheidung durch:</t>
  </si>
  <si>
    <t>Function</t>
  </si>
  <si>
    <t>Funktion</t>
  </si>
  <si>
    <t>Signature / Date:</t>
  </si>
  <si>
    <t>Unterschrift / Datum:</t>
  </si>
  <si>
    <t>Social Responsibility Check passed</t>
  </si>
  <si>
    <t>Social Responsibility Check not passed</t>
  </si>
  <si>
    <t>Soziale Verantwortung Check bestanden</t>
  </si>
  <si>
    <t>Soziale Verantwortung Check nicht bestanden</t>
  </si>
  <si>
    <t>(TK gem.: BS.PU.002 Material, Technologiedefinition)</t>
  </si>
  <si>
    <t>(TC acc. to: BS.PU.002 Material, Technology Definition)</t>
  </si>
  <si>
    <t>Lieferantenklasse &amp; Technologieklasse</t>
  </si>
  <si>
    <t>Vendor Class &amp; Technology Class</t>
  </si>
  <si>
    <t>Regional Procurement Director
(supplier production location)</t>
  </si>
  <si>
    <t>Regional Procurement Director
(Lieferantenproduktionsstandort)</t>
  </si>
  <si>
    <t>(VC1-2 alle 4 Funktionen verpflichtend / VC3 nur Funktionen 1 und 2 notwendig / VC4 nur Funktion 1 notwendig)</t>
  </si>
  <si>
    <t>(VC1-2 all 4 functions mandatory / VC3 only functions 1 and 2 necessary / VC4 only function 1 necessary)</t>
  </si>
  <si>
    <t>Anzahl der Mitarbeiter des Unternehmens in Bereichen (letzte 3 Jahre)</t>
  </si>
  <si>
    <t>Company employees in areas (Last 3 years)</t>
  </si>
  <si>
    <t>Currency</t>
  </si>
  <si>
    <t>Währung</t>
  </si>
  <si>
    <t>EUR</t>
  </si>
  <si>
    <t>Europäischer Euro</t>
  </si>
  <si>
    <t>European Euro</t>
  </si>
  <si>
    <t>USD</t>
  </si>
  <si>
    <t>US Amerikanische Dollar</t>
  </si>
  <si>
    <t>United States Dollar</t>
  </si>
  <si>
    <t>CNY</t>
  </si>
  <si>
    <t>Chinesischer Renminbi</t>
  </si>
  <si>
    <t>Chinese Renminbi</t>
  </si>
  <si>
    <t>ADP</t>
  </si>
  <si>
    <t>Andorianische Peseta</t>
  </si>
  <si>
    <t>Andoran peseta</t>
  </si>
  <si>
    <t>AED</t>
  </si>
  <si>
    <t>Vereinigte Arabische Emirate Dirham</t>
  </si>
  <si>
    <t>United Arab Emirates Dirham</t>
  </si>
  <si>
    <t>AFA</t>
  </si>
  <si>
    <t>Afghani</t>
  </si>
  <si>
    <t>ALL</t>
  </si>
  <si>
    <t>Albanische Lek</t>
  </si>
  <si>
    <t>Albanian Lek</t>
  </si>
  <si>
    <t>AMD</t>
  </si>
  <si>
    <t>Armenische Dram</t>
  </si>
  <si>
    <t>Armenian Dram</t>
  </si>
  <si>
    <t>ANG</t>
  </si>
  <si>
    <t>Antilianische Gulden</t>
  </si>
  <si>
    <t>West Indian Guilder</t>
  </si>
  <si>
    <t>AON</t>
  </si>
  <si>
    <t>Angolanische neue Kwanza</t>
  </si>
  <si>
    <t>Angolan New Kwanza</t>
  </si>
  <si>
    <t>AOR</t>
  </si>
  <si>
    <t>Angolanische Kwanza Reajustado</t>
  </si>
  <si>
    <t>Angolan Kwanza Reajustado</t>
  </si>
  <si>
    <t>ARS</t>
  </si>
  <si>
    <t>Argentinische Peso</t>
  </si>
  <si>
    <t>Argentine Peso</t>
  </si>
  <si>
    <t>ATS</t>
  </si>
  <si>
    <t>Österreichische Schilling</t>
  </si>
  <si>
    <t>Austrian Schilling</t>
  </si>
  <si>
    <t>AUD</t>
  </si>
  <si>
    <t>Australien Dollar</t>
  </si>
  <si>
    <t>Australian Dollar</t>
  </si>
  <si>
    <t>AWG</t>
  </si>
  <si>
    <t>Arubanische Gulden</t>
  </si>
  <si>
    <t>Aruban Guilder</t>
  </si>
  <si>
    <t>AZM</t>
  </si>
  <si>
    <t>Aserbaidschanische Manat</t>
  </si>
  <si>
    <t>Azerbaijan Manat</t>
  </si>
  <si>
    <t>BAM</t>
  </si>
  <si>
    <t>Bosnia and Herzegovina Convertible Mark</t>
  </si>
  <si>
    <t>BBD</t>
  </si>
  <si>
    <t>Barbados-Dollar</t>
  </si>
  <si>
    <t>Barbados Dollar</t>
  </si>
  <si>
    <t>BDT</t>
  </si>
  <si>
    <t>Bangladesch Taka</t>
  </si>
  <si>
    <t>Bangladesh Taka</t>
  </si>
  <si>
    <t>BEF</t>
  </si>
  <si>
    <t>Belgische Franken</t>
  </si>
  <si>
    <t>Belgian Franc</t>
  </si>
  <si>
    <t>BGN</t>
  </si>
  <si>
    <t>Bulgarische Lew</t>
  </si>
  <si>
    <t>Bulgarian Lev</t>
  </si>
  <si>
    <t>BHD</t>
  </si>
  <si>
    <t>Bahrein-Dinar</t>
  </si>
  <si>
    <t>Bahrain Dinar</t>
  </si>
  <si>
    <t>BIF</t>
  </si>
  <si>
    <t>Burundi Frank</t>
  </si>
  <si>
    <t>Burundi Franc</t>
  </si>
  <si>
    <t>BMD</t>
  </si>
  <si>
    <t>Bermuda Dollar</t>
  </si>
  <si>
    <t>Bermudan Dollar</t>
  </si>
  <si>
    <t>BND</t>
  </si>
  <si>
    <t>Brunei Dollar</t>
  </si>
  <si>
    <t>BOB</t>
  </si>
  <si>
    <t>Boliviano</t>
  </si>
  <si>
    <t>BRL</t>
  </si>
  <si>
    <t>Brasilianische Real</t>
  </si>
  <si>
    <t>Brazilian Real</t>
  </si>
  <si>
    <t>BSD</t>
  </si>
  <si>
    <t>Bahama Dollar</t>
  </si>
  <si>
    <t>Bahaman Dollar</t>
  </si>
  <si>
    <t>BTN</t>
  </si>
  <si>
    <t>Bhutan Ngultrum</t>
  </si>
  <si>
    <t>BWP</t>
  </si>
  <si>
    <t>Botswanische Pula</t>
  </si>
  <si>
    <t>Botswana Pula</t>
  </si>
  <si>
    <t>BYB</t>
  </si>
  <si>
    <t>Weissrussische Rubel</t>
  </si>
  <si>
    <t>Belorussian Ruble</t>
  </si>
  <si>
    <t>BZD</t>
  </si>
  <si>
    <t>Belize-Dollar</t>
  </si>
  <si>
    <t>Belize Dollar</t>
  </si>
  <si>
    <t>Kanadische Dollar</t>
  </si>
  <si>
    <t>Canadian Dollar</t>
  </si>
  <si>
    <t>CFP</t>
  </si>
  <si>
    <t>Französischer Franc (Pazifik Inseln)</t>
  </si>
  <si>
    <t>French Franc (Pacific Islands)</t>
  </si>
  <si>
    <t>CHF</t>
  </si>
  <si>
    <t>Schweizer Franken</t>
  </si>
  <si>
    <t>Swiss Franc</t>
  </si>
  <si>
    <t>CLP</t>
  </si>
  <si>
    <t>Chilenische Pesos</t>
  </si>
  <si>
    <t>Chilean Peso</t>
  </si>
  <si>
    <t>COP</t>
  </si>
  <si>
    <t>Kolumbianische Peso</t>
  </si>
  <si>
    <t>Colombian Peso</t>
  </si>
  <si>
    <t>CRC</t>
  </si>
  <si>
    <t>Costa-Rica-Colon</t>
  </si>
  <si>
    <t>Costa Rica Colon</t>
  </si>
  <si>
    <t>CUP</t>
  </si>
  <si>
    <t>Kubanische Peso</t>
  </si>
  <si>
    <t>Cuban Peso</t>
  </si>
  <si>
    <t>CVE</t>
  </si>
  <si>
    <t>Kap-Verde-Escudo</t>
  </si>
  <si>
    <t>Cape Verde Escudo</t>
  </si>
  <si>
    <t>CYP</t>
  </si>
  <si>
    <t>Zypern Pfund</t>
  </si>
  <si>
    <t>Cyprus Pound</t>
  </si>
  <si>
    <t>CZK</t>
  </si>
  <si>
    <t>Tschechische Krone</t>
  </si>
  <si>
    <t>Czech Krona</t>
  </si>
  <si>
    <t>DJF</t>
  </si>
  <si>
    <t>Dschibuti Frank</t>
  </si>
  <si>
    <t>Djibouti Franc</t>
  </si>
  <si>
    <t>DKK</t>
  </si>
  <si>
    <t>Dänische Kronen</t>
  </si>
  <si>
    <t>Danish Krone</t>
  </si>
  <si>
    <t>DOP</t>
  </si>
  <si>
    <t>Dominikanische Peso</t>
  </si>
  <si>
    <t>Dominican Peso</t>
  </si>
  <si>
    <t>DZD</t>
  </si>
  <si>
    <t>Algerische Dinar</t>
  </si>
  <si>
    <t>Algerian Dinar</t>
  </si>
  <si>
    <t>ECS</t>
  </si>
  <si>
    <t>Ecuadorianische Sucre</t>
  </si>
  <si>
    <t>Ecuadorian Sucre</t>
  </si>
  <si>
    <t>EEK</t>
  </si>
  <si>
    <t>Estnische Krone</t>
  </si>
  <si>
    <t>Estonian Krone</t>
  </si>
  <si>
    <t>EGP</t>
  </si>
  <si>
    <t>Ägyptisches Pfund</t>
  </si>
  <si>
    <t>Egyptian Pound</t>
  </si>
  <si>
    <t>ERN</t>
  </si>
  <si>
    <t>Eritreische Nakfa</t>
  </si>
  <si>
    <t>Eritrean Nafka</t>
  </si>
  <si>
    <t>ESP</t>
  </si>
  <si>
    <t>Spanische Peseten</t>
  </si>
  <si>
    <t>Spanish Peseta</t>
  </si>
  <si>
    <t>ETB</t>
  </si>
  <si>
    <t>Äthiopische Birr</t>
  </si>
  <si>
    <t>Ethiopian Birr</t>
  </si>
  <si>
    <t>FIM</t>
  </si>
  <si>
    <t>Finnische Mark</t>
  </si>
  <si>
    <t>Finnish markka</t>
  </si>
  <si>
    <t>FJD</t>
  </si>
  <si>
    <t>Fidschi-Dollar</t>
  </si>
  <si>
    <t>Fiji Dollar</t>
  </si>
  <si>
    <t>FKP</t>
  </si>
  <si>
    <t>Falkland Pfund</t>
  </si>
  <si>
    <t>Falkland Pound</t>
  </si>
  <si>
    <t>FRF</t>
  </si>
  <si>
    <t>Französische Franken</t>
  </si>
  <si>
    <t>French Franc</t>
  </si>
  <si>
    <t>GBP</t>
  </si>
  <si>
    <t>Britische Pfund</t>
  </si>
  <si>
    <t>British Pound</t>
  </si>
  <si>
    <t>GEL</t>
  </si>
  <si>
    <t>Georgisches Lari</t>
  </si>
  <si>
    <t>Georgian Lari</t>
  </si>
  <si>
    <t>GHC</t>
  </si>
  <si>
    <t>Ghanesische Cedi</t>
  </si>
  <si>
    <t>Ghanian Cedi</t>
  </si>
  <si>
    <t>GIP</t>
  </si>
  <si>
    <t>Gibralter Pfund</t>
  </si>
  <si>
    <t>Gibraltar Pound</t>
  </si>
  <si>
    <t>GMD</t>
  </si>
  <si>
    <t>Gambanesische Dalasi</t>
  </si>
  <si>
    <t>Gambian Dalasi</t>
  </si>
  <si>
    <t>GNF</t>
  </si>
  <si>
    <t>Guinea Franc</t>
  </si>
  <si>
    <t>Guinean Franc</t>
  </si>
  <si>
    <t>GRD</t>
  </si>
  <si>
    <t>Griechische Drachme</t>
  </si>
  <si>
    <t>Greek Drachma</t>
  </si>
  <si>
    <t>GTQ</t>
  </si>
  <si>
    <t>Guatemalische Quetzal</t>
  </si>
  <si>
    <t>Guatemalan Quetzal</t>
  </si>
  <si>
    <t>GWP</t>
  </si>
  <si>
    <t>Guinea-Peso</t>
  </si>
  <si>
    <t>Guinea Peso</t>
  </si>
  <si>
    <t>GYD</t>
  </si>
  <si>
    <t>Guyana-Dollar</t>
  </si>
  <si>
    <t>Guyana Dollar</t>
  </si>
  <si>
    <t>HKD</t>
  </si>
  <si>
    <t>Hong Kong Dollar</t>
  </si>
  <si>
    <t>HNL</t>
  </si>
  <si>
    <t>Honduranische Lempira</t>
  </si>
  <si>
    <t>Honduran Lempira</t>
  </si>
  <si>
    <t>HRK</t>
  </si>
  <si>
    <t>Kroatische Kuna</t>
  </si>
  <si>
    <t>Croatian kuna</t>
  </si>
  <si>
    <t>HTG</t>
  </si>
  <si>
    <t>Haitianische Gourde</t>
  </si>
  <si>
    <t>Haitian Gourde</t>
  </si>
  <si>
    <t>HUF</t>
  </si>
  <si>
    <t>Ungarischer Forint</t>
  </si>
  <si>
    <t>Hungarian Forint</t>
  </si>
  <si>
    <t>IDR</t>
  </si>
  <si>
    <t>Indonesische Rupiah</t>
  </si>
  <si>
    <t>Indonesian Rupiah</t>
  </si>
  <si>
    <t>IEP</t>
  </si>
  <si>
    <t>Irisches Pfund</t>
  </si>
  <si>
    <t>Irish Punt</t>
  </si>
  <si>
    <t>ILS</t>
  </si>
  <si>
    <t>Israelische Schekel</t>
  </si>
  <si>
    <t>Israeli Scheckel</t>
  </si>
  <si>
    <t>INR</t>
  </si>
  <si>
    <t>Indian Rupee</t>
  </si>
  <si>
    <t>IQD</t>
  </si>
  <si>
    <t>Irakische-Dinar</t>
  </si>
  <si>
    <t>Iraqui Dinar</t>
  </si>
  <si>
    <t>IRR</t>
  </si>
  <si>
    <t>Iranische Rial</t>
  </si>
  <si>
    <t>Iranian Rial</t>
  </si>
  <si>
    <t>ISK</t>
  </si>
  <si>
    <t>Isländische Krone</t>
  </si>
  <si>
    <t>Iceland Krona</t>
  </si>
  <si>
    <t>ITL</t>
  </si>
  <si>
    <t>Italienische Lire</t>
  </si>
  <si>
    <t>Italian Lira</t>
  </si>
  <si>
    <t>JMD</t>
  </si>
  <si>
    <t>Jamaika-Dollar</t>
  </si>
  <si>
    <t>Jamaican Dollar</t>
  </si>
  <si>
    <t>JOD</t>
  </si>
  <si>
    <t>Jordan-Dinar</t>
  </si>
  <si>
    <t>Jordanian Dinar</t>
  </si>
  <si>
    <t>JPY</t>
  </si>
  <si>
    <t>Japanische Yen</t>
  </si>
  <si>
    <t>Japanese Yen</t>
  </si>
  <si>
    <t>KES</t>
  </si>
  <si>
    <t>Kenianische Schilling</t>
  </si>
  <si>
    <t>Kenyan Shilling</t>
  </si>
  <si>
    <t>KGS</t>
  </si>
  <si>
    <t>Kirgisische Som</t>
  </si>
  <si>
    <t>Kyrgyzstan Som</t>
  </si>
  <si>
    <t>KHR</t>
  </si>
  <si>
    <t>Kambodschanische Riel</t>
  </si>
  <si>
    <t>Cambodian Riel</t>
  </si>
  <si>
    <t>KMF</t>
  </si>
  <si>
    <t>Komoren-Frank</t>
  </si>
  <si>
    <t>Comoros Franc</t>
  </si>
  <si>
    <t>KPW</t>
  </si>
  <si>
    <t>Nordkoreanische Won</t>
  </si>
  <si>
    <t>North Korean Won</t>
  </si>
  <si>
    <t>KRW</t>
  </si>
  <si>
    <t>Südkoreanische Won</t>
  </si>
  <si>
    <t>South Korean Won</t>
  </si>
  <si>
    <t>KWD</t>
  </si>
  <si>
    <t>Kuwaitische Dinar</t>
  </si>
  <si>
    <t>Kuwaiti Dinar</t>
  </si>
  <si>
    <t>KYD</t>
  </si>
  <si>
    <t>Kaiman-Dollar</t>
  </si>
  <si>
    <t>Cayman Dollar</t>
  </si>
  <si>
    <t>KZT</t>
  </si>
  <si>
    <t>Kazachische Tenge</t>
  </si>
  <si>
    <t>Kazakstanian Tenge</t>
  </si>
  <si>
    <t>LAK</t>
  </si>
  <si>
    <t>Laotische Kip</t>
  </si>
  <si>
    <t>Laotian Kip</t>
  </si>
  <si>
    <t>LBP</t>
  </si>
  <si>
    <t>Libanesisches Pfund</t>
  </si>
  <si>
    <t>Lebanese Pound</t>
  </si>
  <si>
    <t>LKR</t>
  </si>
  <si>
    <t>Sri-Lanka-Rupie</t>
  </si>
  <si>
    <t>Sri Lankan Rupee</t>
  </si>
  <si>
    <t>LRD</t>
  </si>
  <si>
    <t>Liberianischer Dollar</t>
  </si>
  <si>
    <t>Liberian Dollar</t>
  </si>
  <si>
    <t>LSL</t>
  </si>
  <si>
    <t>Lesotische Loti</t>
  </si>
  <si>
    <t>Lesotho Loti</t>
  </si>
  <si>
    <t>LTL</t>
  </si>
  <si>
    <t>Litauische Lita</t>
  </si>
  <si>
    <t>Lithuanian Lita</t>
  </si>
  <si>
    <t>LUF</t>
  </si>
  <si>
    <t>Luxembourgische Franken</t>
  </si>
  <si>
    <t>Luxembourg Franc</t>
  </si>
  <si>
    <t>LVL</t>
  </si>
  <si>
    <t>Lettländische Lat</t>
  </si>
  <si>
    <t>Latvian Lat</t>
  </si>
  <si>
    <t>LYD</t>
  </si>
  <si>
    <t>Libyscher Dinar</t>
  </si>
  <si>
    <t>Libyan Dinar</t>
  </si>
  <si>
    <t>MAD</t>
  </si>
  <si>
    <t>Marokkanische Dirham</t>
  </si>
  <si>
    <t>Moroccan Dirham</t>
  </si>
  <si>
    <t>MDL</t>
  </si>
  <si>
    <t>Moldavische Lei</t>
  </si>
  <si>
    <t>Moldavian Leu</t>
  </si>
  <si>
    <t>MGF</t>
  </si>
  <si>
    <t>Madagasker Frank</t>
  </si>
  <si>
    <t>Madagascan Franc</t>
  </si>
  <si>
    <t>MKD</t>
  </si>
  <si>
    <t>Mazedonische Denar</t>
  </si>
  <si>
    <t>Macedonian Denar</t>
  </si>
  <si>
    <t>MMK</t>
  </si>
  <si>
    <t>Myanmar Kyat</t>
  </si>
  <si>
    <t>MNT</t>
  </si>
  <si>
    <t>Mongolianische Tugrik</t>
  </si>
  <si>
    <t>Mongolian Tugrik</t>
  </si>
  <si>
    <t>MOP</t>
  </si>
  <si>
    <t>Macauanische Pataca</t>
  </si>
  <si>
    <t>Macao Pataca</t>
  </si>
  <si>
    <t>MRO</t>
  </si>
  <si>
    <t>Mauretanische Ouguiya</t>
  </si>
  <si>
    <t>Mauritanian Ouguiya</t>
  </si>
  <si>
    <t>MTL</t>
  </si>
  <si>
    <t>Maltesische Lira</t>
  </si>
  <si>
    <t>Maltese Lira</t>
  </si>
  <si>
    <t>MUR</t>
  </si>
  <si>
    <t>Mauritius Rupie</t>
  </si>
  <si>
    <t>Mauritian Rupee</t>
  </si>
  <si>
    <t>MVR</t>
  </si>
  <si>
    <t>Maledivische Rufiyaa</t>
  </si>
  <si>
    <t>Maldive Rufiyaa</t>
  </si>
  <si>
    <t>MWK</t>
  </si>
  <si>
    <t>Malawi-Kwacha</t>
  </si>
  <si>
    <t>Malawi Kwacha</t>
  </si>
  <si>
    <t>MXN</t>
  </si>
  <si>
    <t>Mexikanische Pesos</t>
  </si>
  <si>
    <t>Mexican Pesos</t>
  </si>
  <si>
    <t>MYR</t>
  </si>
  <si>
    <t>Malaysischer Ringgit</t>
  </si>
  <si>
    <t>Malaysian Ringgit</t>
  </si>
  <si>
    <t>MZM</t>
  </si>
  <si>
    <t>Mosambikanische Metical</t>
  </si>
  <si>
    <t>Mozambique Metical</t>
  </si>
  <si>
    <t>NAD</t>
  </si>
  <si>
    <t>Namibia Dollar</t>
  </si>
  <si>
    <t>Namibian Dollar</t>
  </si>
  <si>
    <t>NGN</t>
  </si>
  <si>
    <t>Nigerianische Naira</t>
  </si>
  <si>
    <t>Nigerian Naira</t>
  </si>
  <si>
    <t>NIO</t>
  </si>
  <si>
    <t>Nicaraguanische Cordoba Oro</t>
  </si>
  <si>
    <t>Nicaraguan Cordoba Oro</t>
  </si>
  <si>
    <t>NLG</t>
  </si>
  <si>
    <t>Niederländische Gulden</t>
  </si>
  <si>
    <t>Dutch Guilder</t>
  </si>
  <si>
    <t>NOK</t>
  </si>
  <si>
    <t>Norwegische Kronen</t>
  </si>
  <si>
    <t>Norwegian Krone</t>
  </si>
  <si>
    <t>NPR</t>
  </si>
  <si>
    <t>Nepalesische Rupie</t>
  </si>
  <si>
    <t>Nepalese Rupee</t>
  </si>
  <si>
    <t>NZD</t>
  </si>
  <si>
    <t>Neuseeland-Dollar</t>
  </si>
  <si>
    <t>New Zealand Dollars</t>
  </si>
  <si>
    <t>OMR</t>
  </si>
  <si>
    <t>Rial Omani</t>
  </si>
  <si>
    <t>Omani Rial</t>
  </si>
  <si>
    <t>PAB</t>
  </si>
  <si>
    <t>Panamaische Balboa</t>
  </si>
  <si>
    <t>Panamanian Balboa</t>
  </si>
  <si>
    <t>PEN</t>
  </si>
  <si>
    <t>Peruanischer neuer Sol</t>
  </si>
  <si>
    <t>Peruvian New Sol</t>
  </si>
  <si>
    <t>PGK</t>
  </si>
  <si>
    <t>Papua-Neuguineische Kina</t>
  </si>
  <si>
    <t>Papua New Guinea Kina</t>
  </si>
  <si>
    <t>PHP</t>
  </si>
  <si>
    <t>Philippinische Peso</t>
  </si>
  <si>
    <t>Philippine Peso</t>
  </si>
  <si>
    <t>PKR</t>
  </si>
  <si>
    <t>Pakistanische Rupie</t>
  </si>
  <si>
    <t>Pakistani Rupee</t>
  </si>
  <si>
    <t>PLN</t>
  </si>
  <si>
    <t>Polnische Zloty (neu)</t>
  </si>
  <si>
    <t>Polish Zloty (new)</t>
  </si>
  <si>
    <t>PLZ</t>
  </si>
  <si>
    <t>Polish Zloty</t>
  </si>
  <si>
    <t>PTE</t>
  </si>
  <si>
    <t>Portugiesische Escudos</t>
  </si>
  <si>
    <t>Portuguese Escudo</t>
  </si>
  <si>
    <t>PYG</t>
  </si>
  <si>
    <t>Paraguayische Guarani</t>
  </si>
  <si>
    <t>Paraguayan Guarani</t>
  </si>
  <si>
    <t>QAR</t>
  </si>
  <si>
    <t>Katar-Riyal</t>
  </si>
  <si>
    <t>Qatar Rial</t>
  </si>
  <si>
    <t>RMB</t>
  </si>
  <si>
    <t>Chinesische RenMinBi Yuan</t>
  </si>
  <si>
    <t>Chinese Yuan Renminbi</t>
  </si>
  <si>
    <t>ROL</t>
  </si>
  <si>
    <t>Rumänische Lei</t>
  </si>
  <si>
    <t>Romanian Leu</t>
  </si>
  <si>
    <t>RON</t>
  </si>
  <si>
    <t>Romanian Leu New</t>
  </si>
  <si>
    <t>RSD</t>
  </si>
  <si>
    <t>Serbischer Dinar</t>
  </si>
  <si>
    <t>Serbian Dinar</t>
  </si>
  <si>
    <t>RUB</t>
  </si>
  <si>
    <t>Russische Rubel</t>
  </si>
  <si>
    <t>Russian Ruble</t>
  </si>
  <si>
    <t>RUE</t>
  </si>
  <si>
    <t>RWF</t>
  </si>
  <si>
    <t>Ruanda Franc</t>
  </si>
  <si>
    <t>Rwandan Franc</t>
  </si>
  <si>
    <t>SAR</t>
  </si>
  <si>
    <t>Saudi Riyal</t>
  </si>
  <si>
    <t>SBD</t>
  </si>
  <si>
    <t>Salomonen Dollar</t>
  </si>
  <si>
    <t>Solomon Islands Dollar</t>
  </si>
  <si>
    <t>SCR</t>
  </si>
  <si>
    <t>Seychellen Rupie</t>
  </si>
  <si>
    <t>Seychelles Rupee</t>
  </si>
  <si>
    <t>SDP</t>
  </si>
  <si>
    <t>Sudanesisches Pfund</t>
  </si>
  <si>
    <t>Sudanese Pound</t>
  </si>
  <si>
    <t>SEK</t>
  </si>
  <si>
    <t>Schwedische Kronen</t>
  </si>
  <si>
    <t>Swedish Krona</t>
  </si>
  <si>
    <t>SGD</t>
  </si>
  <si>
    <t>Singapur Dollar</t>
  </si>
  <si>
    <t>Singapore Dollar</t>
  </si>
  <si>
    <t>SHP</t>
  </si>
  <si>
    <t>St. Helena Pfund</t>
  </si>
  <si>
    <t>St.Helena Pound</t>
  </si>
  <si>
    <t>SIT</t>
  </si>
  <si>
    <t>Slowenische Tolar</t>
  </si>
  <si>
    <t>Slovenian Tolar</t>
  </si>
  <si>
    <t>SKK</t>
  </si>
  <si>
    <t>Slowakische Krone</t>
  </si>
  <si>
    <t>Slovakian Krona</t>
  </si>
  <si>
    <t>SLL</t>
  </si>
  <si>
    <t>Sierra Leone Leone</t>
  </si>
  <si>
    <t>SOS</t>
  </si>
  <si>
    <t>Somalia Schilling</t>
  </si>
  <si>
    <t>Somalian Shilling</t>
  </si>
  <si>
    <t>SRG</t>
  </si>
  <si>
    <t>Surinamische Gulden</t>
  </si>
  <si>
    <t>Surinam Guilder</t>
  </si>
  <si>
    <t>STD</t>
  </si>
  <si>
    <t>Santomeische Dobra</t>
  </si>
  <si>
    <t>Sao Tome / Principe Dobra</t>
  </si>
  <si>
    <t>SVC</t>
  </si>
  <si>
    <t>El Salvador-Colon</t>
  </si>
  <si>
    <t>El Salvador Colon</t>
  </si>
  <si>
    <t>SYP</t>
  </si>
  <si>
    <t>Syrisches Pfund</t>
  </si>
  <si>
    <t>Syrian Pound</t>
  </si>
  <si>
    <t>SZL</t>
  </si>
  <si>
    <t>Swasiländische Lilangeni</t>
  </si>
  <si>
    <t>Swaziland Lilangeni</t>
  </si>
  <si>
    <t>THB</t>
  </si>
  <si>
    <t>Thailand Bhat</t>
  </si>
  <si>
    <t>Thailand Baht</t>
  </si>
  <si>
    <t>TJR</t>
  </si>
  <si>
    <t>Tadschikische Rubel</t>
  </si>
  <si>
    <t>Tajikistani Ruble</t>
  </si>
  <si>
    <t>TMM</t>
  </si>
  <si>
    <t>Turkmenische Manat</t>
  </si>
  <si>
    <t>Turkmenistani Manat</t>
  </si>
  <si>
    <t>TND</t>
  </si>
  <si>
    <t>Tunesischer Dinar</t>
  </si>
  <si>
    <t>Tunisian Dinar</t>
  </si>
  <si>
    <t>TOP</t>
  </si>
  <si>
    <t>Tongaische Pa'anga</t>
  </si>
  <si>
    <t>Tongan Pa'anga</t>
  </si>
  <si>
    <t>TPE</t>
  </si>
  <si>
    <t>Timor Escudo</t>
  </si>
  <si>
    <t>TRL</t>
  </si>
  <si>
    <t>Türkische Lira</t>
  </si>
  <si>
    <t>Turkish Lira</t>
  </si>
  <si>
    <t>TRY</t>
  </si>
  <si>
    <t>New Turkish Lira</t>
  </si>
  <si>
    <t>TTD</t>
  </si>
  <si>
    <t>Trinidad-u. Tobago-Dollar</t>
  </si>
  <si>
    <t>Trinidad and Tobago Dollar</t>
  </si>
  <si>
    <t>TWD</t>
  </si>
  <si>
    <t>Neuer Taiwan-Dollar</t>
  </si>
  <si>
    <t>New Taiwan Dollar</t>
  </si>
  <si>
    <t>TZS</t>
  </si>
  <si>
    <t>Tansania-Shilling</t>
  </si>
  <si>
    <t>Tanzanian Shilling</t>
  </si>
  <si>
    <t>UAH</t>
  </si>
  <si>
    <t>Ukrainische Karbowanez</t>
  </si>
  <si>
    <t>Ukrainian Hryvnia</t>
  </si>
  <si>
    <t>UAK</t>
  </si>
  <si>
    <t>Ukrainian Karbowanez (old)</t>
  </si>
  <si>
    <t>UGX</t>
  </si>
  <si>
    <t>Uganda Schilling</t>
  </si>
  <si>
    <t>Ugandan Shilling</t>
  </si>
  <si>
    <t>USDN</t>
  </si>
  <si>
    <t>(Intern) Amerikanische Dollar (5 Nachk.)</t>
  </si>
  <si>
    <t>(Internal) United States Dollar (5 Dec.)</t>
  </si>
  <si>
    <t>UYU</t>
  </si>
  <si>
    <t>Uruguy Peso (neu)</t>
  </si>
  <si>
    <t>Uruguayan Peso (new)</t>
  </si>
  <si>
    <t>UZS</t>
  </si>
  <si>
    <t>Uzbekistan Sum</t>
  </si>
  <si>
    <t>Uzbekistan Som</t>
  </si>
  <si>
    <t>VEB</t>
  </si>
  <si>
    <t>Venezolanische Bolivar</t>
  </si>
  <si>
    <t>Venezuelan Bolivar</t>
  </si>
  <si>
    <t>VND</t>
  </si>
  <si>
    <t>Vietnamesische Dong</t>
  </si>
  <si>
    <t>Vietnamese Dong</t>
  </si>
  <si>
    <t>VUV</t>
  </si>
  <si>
    <t>Vanuatische Vatu</t>
  </si>
  <si>
    <t>Vanuatu Vatu</t>
  </si>
  <si>
    <t>WST</t>
  </si>
  <si>
    <t>Samoanische Tala</t>
  </si>
  <si>
    <t>Samoan Tala</t>
  </si>
  <si>
    <t>XAF</t>
  </si>
  <si>
    <t>CFA Franc  BEAC</t>
  </si>
  <si>
    <t>Gabon CFA Franc BEAC</t>
  </si>
  <si>
    <t>XCD</t>
  </si>
  <si>
    <t>Ostkaribischer Dollar</t>
  </si>
  <si>
    <t>East Carribean Dollar</t>
  </si>
  <si>
    <t>XDS</t>
  </si>
  <si>
    <t>St. Christopher Dollar</t>
  </si>
  <si>
    <t>XEU</t>
  </si>
  <si>
    <t>Europäische Währungs Einheit (E.C.U.)</t>
  </si>
  <si>
    <t>European Currency Unit (E.C.U.)</t>
  </si>
  <si>
    <t>XOF</t>
  </si>
  <si>
    <t>CFA Franc  BCEAO</t>
  </si>
  <si>
    <t>Benin CFA Franc BCEAO</t>
  </si>
  <si>
    <t>XPF</t>
  </si>
  <si>
    <t>CFP Franc</t>
  </si>
  <si>
    <t>YEE</t>
  </si>
  <si>
    <t>Special currency EUR (Russia)</t>
  </si>
  <si>
    <t>YER</t>
  </si>
  <si>
    <t>Jemen-Rial</t>
  </si>
  <si>
    <t>Yemeni Ryal</t>
  </si>
  <si>
    <t>YEU</t>
  </si>
  <si>
    <t>Special currency USD (Russia)</t>
  </si>
  <si>
    <t>YUM</t>
  </si>
  <si>
    <t>Jugoslawische neue Dinar</t>
  </si>
  <si>
    <t>New Yugoslavian Dinar</t>
  </si>
  <si>
    <t>ZAR</t>
  </si>
  <si>
    <t>Südafrikanische Rand</t>
  </si>
  <si>
    <t>South African Rand</t>
  </si>
  <si>
    <t>ZMK</t>
  </si>
  <si>
    <t>Zambianische Kwacha</t>
  </si>
  <si>
    <t>Zambian Kwacha</t>
  </si>
  <si>
    <t>ZRN</t>
  </si>
  <si>
    <t>Zaire</t>
  </si>
  <si>
    <t>ZWD</t>
  </si>
  <si>
    <t>Simbabwe Dollar</t>
  </si>
  <si>
    <t>Zimbabwean Dollar</t>
  </si>
  <si>
    <t>Payment terms</t>
  </si>
  <si>
    <t>Within 180 days without discount</t>
  </si>
  <si>
    <t>Within 120 days without discount</t>
  </si>
  <si>
    <t>Within 90 days without discount</t>
  </si>
  <si>
    <t>Within 60 days without discount</t>
  </si>
  <si>
    <t xml:space="preserve">Within 45 days without discount </t>
  </si>
  <si>
    <t>Within 30 days without discount</t>
  </si>
  <si>
    <t>Innerhalb 180 Tage ohne Skonto</t>
  </si>
  <si>
    <t>Innerhalb 120 Tage ohne Skonto</t>
  </si>
  <si>
    <t>Innerhalb 90 Tage ohne Skonto</t>
  </si>
  <si>
    <t>Innerhalb 60 Tage ohne Skonto</t>
  </si>
  <si>
    <t>Innerhalb 45 Tage ohne Skonto</t>
  </si>
  <si>
    <t>Innerhalb 30 Tage ohne Skonto</t>
  </si>
  <si>
    <t>Anforderer (Einkäufer)</t>
  </si>
  <si>
    <t>Requester (Buyer)</t>
  </si>
  <si>
    <t>Did your company implement a process to continuously improve the energy related performance? (Program/Goals)</t>
  </si>
  <si>
    <t>Did your company implement a process to continuously improve the environmental performance? (Program/Goals)</t>
  </si>
  <si>
    <t>Do you have any completed external questionnaire concerning sustainability (e.g. NQC, EcoVadis, etc.)? Have you obtained any external rating?  If you have already completed a questionnaire for an other automotive customer and want to share the rating instead completing Section E of this Self-Assessment Questionnaire, please provide evidence about the obtained sustainability rating.</t>
  </si>
  <si>
    <t>Haben Sie einen ausgefüllten externen Fragebogen zur Nachhaltigkeit (z.B. NQC, EcoVadis, etc.)? Haben Sie ein externes Rating erhalten? Wenn Sie bereits einen Fragebogen für einen anderen Automobilkunden ausgefüllt haben und die Bewertung mit uns teilen möchten, anstatt Abschnitt E dieses Self-Assessment-Fragebogens auszufüllen, erbringen Sie bitte einen Nachweis über die erhaltene Nachhaltigkeitsbewertung.</t>
  </si>
  <si>
    <t>Vorheriger / Historischer Firmenname</t>
  </si>
  <si>
    <t>Former / historical company name</t>
  </si>
  <si>
    <t>Managing Director / CEO</t>
  </si>
  <si>
    <t>(Only USA / South Africa)</t>
  </si>
  <si>
    <t>(Nur USA / Südafrika)</t>
  </si>
  <si>
    <t>Company turnover / investments (Last 3 years)</t>
  </si>
  <si>
    <t>Unternehmensumsatz / Investitionen (letzte 3 Jahre)</t>
  </si>
  <si>
    <t xml:space="preserve">Technologieklasse / Code:   </t>
  </si>
  <si>
    <t xml:space="preserve">Technology Class / Code:   </t>
  </si>
  <si>
    <t>Enclosed</t>
  </si>
  <si>
    <t>Beigefügt</t>
  </si>
  <si>
    <t>Umweltschutzmanager</t>
  </si>
  <si>
    <t>Logistikmanager</t>
  </si>
  <si>
    <t>Qualitätsmanager</t>
  </si>
  <si>
    <t>Verkaufsmanager</t>
  </si>
  <si>
    <t>Geschäftsführer / CEO</t>
  </si>
  <si>
    <t xml:space="preserve">Business Liability Insurance </t>
  </si>
  <si>
    <t>Rückrufkostenversicherung</t>
  </si>
  <si>
    <t>Recall Cost Insurance</t>
  </si>
  <si>
    <t>Erweiterte Produkthaftpflichtversicherung</t>
  </si>
  <si>
    <t>Extended Product Liability Insurance</t>
  </si>
  <si>
    <t>M €</t>
  </si>
  <si>
    <t>Versicherungsnachweise beigefügt</t>
  </si>
  <si>
    <t>Insurance certificates attached</t>
  </si>
  <si>
    <t>Deckungssummen ausreichend</t>
  </si>
  <si>
    <t>Sufficient amounts of cover</t>
  </si>
  <si>
    <t>DE</t>
  </si>
  <si>
    <t>EN</t>
  </si>
  <si>
    <t>Schmiedeteile, Aluminium</t>
  </si>
  <si>
    <t>Plastik, Gummi</t>
  </si>
  <si>
    <t>Service-Serie, Verpacken, Etikettieren, Sortieren</t>
  </si>
  <si>
    <t>Service-Serial, Packaging, Labeling, Sorting</t>
  </si>
  <si>
    <t>Machining</t>
  </si>
  <si>
    <t>TCIAC005</t>
  </si>
  <si>
    <t>Kleber, Serie</t>
  </si>
  <si>
    <t>Glue, Serial</t>
  </si>
  <si>
    <t>Oberlächenbehandlung Material</t>
  </si>
  <si>
    <t>Logistikdienstleistungen</t>
  </si>
  <si>
    <t>Logistic Services</t>
  </si>
  <si>
    <t>TCISC000</t>
  </si>
  <si>
    <t>Labore und Testdienstleistungen</t>
  </si>
  <si>
    <t>Laboratories &amp; Testings</t>
  </si>
  <si>
    <t>Commercial register number:</t>
  </si>
  <si>
    <t>(Please attach a current extract from the commercial register (PDF))</t>
  </si>
  <si>
    <t>*Bitte fügen Sie ein offizielles Dokument mit der Bankverbindung bei (PDF).</t>
  </si>
  <si>
    <t>*Please attach an official document stating the bank details (PDF)</t>
  </si>
  <si>
    <t>(Bitte fügen Sie einen aktuellen Handelsregisterauszug (PDF) bei)</t>
  </si>
  <si>
    <t>Datenschutzbeauftragter (DPO)</t>
  </si>
  <si>
    <t>Data Protection Officer (DPO)</t>
  </si>
  <si>
    <t>Manager Informationssicherheit (CISO)</t>
  </si>
  <si>
    <t>Chief Information Security Officer (CISO)</t>
  </si>
  <si>
    <t>Manager IT-Sicherheit (ISM)</t>
  </si>
  <si>
    <t>IT-Security Manager (ISM)</t>
  </si>
  <si>
    <t>ISO/IEC 27001</t>
  </si>
  <si>
    <t>IT Grundschutz BSI</t>
  </si>
  <si>
    <t>IT Basic Protection BSI</t>
  </si>
  <si>
    <t>Management Certification</t>
  </si>
  <si>
    <t>Zertifizierung des Managements</t>
  </si>
  <si>
    <t>ISO 45001 (vormals OHSAS 18001)</t>
  </si>
  <si>
    <t>ISO 45001 (former OHSAS 18001)</t>
  </si>
  <si>
    <t>Gesundheits &amp; Sicherheits Management System (z.B. ISO 45001 (vormals OHSAS 18001), ANSI Z10, CSA Z1000, BS 8800, OSHA VPP)</t>
  </si>
  <si>
    <t>Health &amp; Safety Management System (e.g. ISO 45001 (former OHSAS 18001), ANSI Z10, CSA Z1000, BS 8800, OSHA VPP)</t>
  </si>
  <si>
    <t>1.4</t>
  </si>
  <si>
    <t>Nr. 5 nicht erforderlich</t>
  </si>
  <si>
    <t>No. 5 not necessary</t>
  </si>
  <si>
    <t>5.2</t>
  </si>
  <si>
    <t>5.3</t>
  </si>
  <si>
    <t>5.4</t>
  </si>
  <si>
    <t>SOC 2</t>
  </si>
  <si>
    <t>Did your company implement procedures to comply to regulations of EU-GDPR?</t>
  </si>
  <si>
    <t>Hat Ihr Unternehmen Verfahren zur Einhaltung der Bestimmungen der EU-DSGVO eingeführt?</t>
  </si>
  <si>
    <t>Hat Ihr Unternehmen einen Prozess zur kontinuierlichen Verbesserung des Datenschutz, IT- und Informationssicherheit implementiert? (Programm/Ziele)</t>
  </si>
  <si>
    <t>Did your company implement a process to continuously improve the data protection, IT- and information security? (Program/Goals)</t>
  </si>
  <si>
    <t>Erhalten Ihre Mitarbeiter regelmäßige Schulungen zum Thema Datenschutz, IT- und Informationssicherheit?</t>
  </si>
  <si>
    <t>Do your associates get periodic trainings related to data protection, IT- and information security?</t>
  </si>
  <si>
    <t>Did you implement a process to control and comply to relevant legal regulations, voluntary agreements with customers etc. ? (regular audits acc. SOC 2, ISA 3402 and/or IT Basic Protection BSI)</t>
  </si>
  <si>
    <t>Haben Sie einen Prozess zur Kontrolle und Einhaltung der relevanten gesetzlichen Vorschriften, freiwilligen Vereinbarungen mit Kunden etc. implementiert? (Audits nach SOC 2, ISA 3402 und/oder IT Grundschutz BSI)</t>
  </si>
  <si>
    <t>TISAX Verfahren</t>
  </si>
  <si>
    <t>TISAX Assessment</t>
  </si>
  <si>
    <t>ISAE 3402</t>
  </si>
  <si>
    <t>Welche der genannten Verfahren kommen zum Einsatz?</t>
  </si>
  <si>
    <t>Which of the mentioned processes are in use?</t>
  </si>
  <si>
    <t>Informationssicherheit</t>
  </si>
  <si>
    <t>Informationen über Umwelt / Sicherheit / Energie / Informationssicherheit Management im Unternehmen</t>
  </si>
  <si>
    <t>Information about Environmental / Safety / Energy / Information Security Management in the company</t>
  </si>
  <si>
    <t>Keine weiteres Verfahren</t>
  </si>
  <si>
    <t>No further process</t>
  </si>
  <si>
    <t>Kompetenz:</t>
  </si>
  <si>
    <t>Kernkompetenzen</t>
  </si>
  <si>
    <t>Competence:</t>
  </si>
  <si>
    <t>5.5</t>
  </si>
  <si>
    <t>Steuernummer:</t>
  </si>
  <si>
    <t>Kommunikationssprache:</t>
  </si>
  <si>
    <t>Tax identification number:</t>
  </si>
  <si>
    <t>Language of communication:</t>
  </si>
  <si>
    <t>BIC</t>
  </si>
  <si>
    <t>*Bitte fügen Sie eine Kopie der Management-Zertifikate bei (PDF)</t>
  </si>
  <si>
    <t>*Please attach a copy of the management certificates (PDF)</t>
  </si>
  <si>
    <t>Aktueller Handelsregisterauszug</t>
  </si>
  <si>
    <t>Section A:</t>
  </si>
  <si>
    <t>Nachweis über eigenen Verhaltenskodex</t>
  </si>
  <si>
    <t>Nachweis über eigene Corporate Social Responsibility</t>
  </si>
  <si>
    <t>Richtlinie für eine verantwortungsvolle Beschaffung von Rohstoffen</t>
  </si>
  <si>
    <t>(Nur wenn zugehörige Fragen mit "Ja" beantwortet wurden)</t>
  </si>
  <si>
    <t>(Only if related questions are rated with "Yes")</t>
  </si>
  <si>
    <t>Current extract from the commercial register</t>
  </si>
  <si>
    <t>Evidence of own Code of Conduct</t>
  </si>
  <si>
    <t>Evidence of corporate social responsibility standards</t>
  </si>
  <si>
    <t>Policy on responsible sourcing on raw materials</t>
  </si>
  <si>
    <t>Exportkontrollbeauftragter</t>
  </si>
  <si>
    <t>Export control - responsible</t>
  </si>
  <si>
    <t>Bitte in Section A eintragen!</t>
  </si>
  <si>
    <t>Please enter in Section A!</t>
  </si>
  <si>
    <t>Weiter mit Nr. 2</t>
  </si>
  <si>
    <t>Weiter mit Nr. 3</t>
  </si>
  <si>
    <t>Weiter mit Nr. 4</t>
  </si>
  <si>
    <t>Weiter mit Nr. 5</t>
  </si>
  <si>
    <t>Continue with No. 3</t>
  </si>
  <si>
    <t>Continue with No. 4</t>
  </si>
  <si>
    <t>Continue with No. 5</t>
  </si>
  <si>
    <t>Rechts- / Versicherungsabteilung</t>
  </si>
  <si>
    <t>Legal / Insurance Department</t>
  </si>
  <si>
    <t>Zentrale IT</t>
  </si>
  <si>
    <t>Central IT Department</t>
  </si>
  <si>
    <t>Information Security</t>
  </si>
  <si>
    <t>Alle Unternehmen der BENTELER Gruppe (nachfolgend "BENTELER" genannt) erwarten von ihren Lieferanten, dass sie mindestens die ethischen Standards einhalten, zu denen sich alle Unternehmen der BENTELER Gruppe verpflichtet haben. Wenn Sie nicht über die neueste Version des BENTELER-Verhaltenskodex verfügen, können Sie ihn selbst von der Homepage der BENTELER-Gruppe herunterladen (www.benteler.com).
Sie müssen die Einhaltung der ethischen Standards gemäß dem Verhaltenskodex von BENTELER schriftlich bestätigen. Dies ist eine Voraussetzung für die Lieferantenauswahl, bedeutet aber nicht, dass Ihr Unternehmen auf diese Weise automatisch ausgewählt wird. Dies ist eine von mehreren Bedingungen, die von BENTELER während des Nominierungsprozesses überprüft werden. 
Bitte nutzen Sie zur Bestätigung die Vorlage "Akzeptanzbogen", in der Sie ebenfalls die Einkaufsbedingungen und unsere Qualtitätsrichtilinie anerkennen.</t>
  </si>
  <si>
    <r>
      <t xml:space="preserve">All companies of the BENTELER Group (hereafter called “BENTELER”) expect from their suppliers to comply with at least those ethical standards to which all companies of the BENTELER Group have themselves committed to. If you do not have the latest version of BENTELER’s code of conduct, you can download it yourself from the homepage of the BENTELER Group (www.benteler.com)
You must confirm in writing compliance with ethical standards in line with BENTELER’s code of conduct. This is a pre-requisite for supplier selection; but does not mean that your company will be selected automatically in this way. This is one of several conditions which are checked by BENTELER during the supplier nomination process. 
</t>
    </r>
    <r>
      <rPr>
        <i/>
        <sz val="10"/>
        <color rgb="FFFF0000"/>
        <rFont val="Arial"/>
        <family val="2"/>
      </rPr>
      <t>Bitte nutzen Sie zur Bestätigung die Vorlage "Akzeptanzbogen", in der Sie ebenfalls die Einkaufsbedingungen und unsere Qualtitätsrichtilinie anerkennen.</t>
    </r>
  </si>
  <si>
    <t>Haben Sie eine Richtlinie für eine verantwortungsvolle Beschaffung von Rohstoffen? Wenn ja, legen Sie Ihrer Empfehlung bitte eine Kopie bei.</t>
  </si>
  <si>
    <t>Do you have a policy on responsible sourcing on raw materials? If yes, please enclose a copy to your application.</t>
  </si>
  <si>
    <t>Kontaktperson für die Empfehlung</t>
  </si>
  <si>
    <t>Contact Person of this application</t>
  </si>
  <si>
    <t>Meike Wippermann</t>
  </si>
  <si>
    <t>Please select the language via pull-down in column A1 left.
Bitte wählen die Sprache über das Pulldown links in Spalte A1.</t>
  </si>
  <si>
    <t>Position der Kontakperson</t>
  </si>
  <si>
    <t>Position of contact person</t>
  </si>
  <si>
    <t>Company Telephone-No. :</t>
  </si>
  <si>
    <t>Firmen Telefon-Nr.:</t>
  </si>
  <si>
    <t>email adress contact person</t>
  </si>
  <si>
    <t>Email Adresse Kontaktperson:</t>
  </si>
  <si>
    <t>Dauerhaufte Email Adresse für generelle Kommunikation (nicht info@):</t>
  </si>
  <si>
    <t>Permanent mail address for general communication (not info@):</t>
  </si>
  <si>
    <t>Telefon Kontaktperson:</t>
  </si>
  <si>
    <t>Telephon contact person:</t>
  </si>
  <si>
    <t>Vx</t>
  </si>
  <si>
    <t>First Draft</t>
  </si>
  <si>
    <t>Section C:</t>
  </si>
  <si>
    <t>Empfehlungsbogen</t>
  </si>
  <si>
    <t>Recommendation Form</t>
  </si>
  <si>
    <t>Product (Technologie class)</t>
  </si>
  <si>
    <t>Produkt (Technologieklasse)</t>
  </si>
  <si>
    <t>Production</t>
  </si>
  <si>
    <t>Verwaltung</t>
  </si>
  <si>
    <t>Administr.</t>
  </si>
  <si>
    <t>Qualitätsabt.</t>
  </si>
  <si>
    <t>Erläuterungen zum Empfehlungsbogen</t>
  </si>
  <si>
    <t>Explanations to the recommendation form</t>
  </si>
  <si>
    <t>Bitte wählen Sie in Abschnitt Quality, ob Ihr Unternehmen die aufgelisteten Zertifikate besitzt und füllen bitte die ausgegrauten Felder.</t>
  </si>
  <si>
    <t>Bitte wählen Sie in Teil 1, ob Ihr Unternehmen die aufgelisteten Firmen-Zertifikate besitzt. Bitte fügen Sie eine Kopie der Zertifikate als PDF bei. Wenn Ihr Unternehmen kein entsprechendes Zertifikat besitzt, füllen Sie bitte stattdessen die Fragen darunter aus.</t>
  </si>
  <si>
    <t>Please select in Part 1 whether your company holds the listed 
facility certificates or not. Please add a copy of the certificates as PDF. If your company does not hold the listed certificates, please complete the relevant questions.</t>
  </si>
  <si>
    <t>Bezüglich der Frage 1, bitte wählen Sie im Drop-Down Menü ob Ihr Unternehmen bereits einen externen Fragebogen bezüglich Nachhaltigkeit ausgefüllt hat. 
Wenn Ihre Antwort "ja" ist, fügen Sie Ihrer Empfehlung bitte eine Kopie als PDF bei. Dann sind Sie mit diesem Abschitt fertig. 
Wenn Ihre Antwort "nein" ist, fahren Sie bitte mit Frage 2 fort und füllen den restlichen Fragebogen dieses Abschnitts aus.</t>
  </si>
  <si>
    <t>Bezüglich der Fragen 2 bis 10: Wenn Ihre Antwort "teilweise" oder 
"nein" ist, fügen Sie bitte einen Kommentar zur Erklärung hinzu.</t>
  </si>
  <si>
    <t>Regarding question number 1, please select in the drop-down menu 
whether you already completed an external sustainability rating questionnaire. 
If your answer is yes, please attach a copy as PDF to your recommendation. 
Then you are done with this section. If your answer is no, please go on with question 2 and fill in the complete questionnaire of this section.</t>
  </si>
  <si>
    <t>Regarding questions 2 to 10, if you select answer "partially" or "no", please add a comment for explanation.</t>
  </si>
  <si>
    <t>Bitte geben Sie an, ob Ihr Unternehmen über eine EDI Verbindung verfügt.</t>
  </si>
  <si>
    <t>c)</t>
  </si>
  <si>
    <t>eMail:</t>
  </si>
  <si>
    <t>Bitte machen Sie Angaben zu Ihrem Portfolio und wählen dieses aus der dropdown-Liste.</t>
  </si>
  <si>
    <t>Bitte wäheln Sie über das dropdown an, ob ihr Unternehmen eine Risikoversicherung hat. Bitte füllen Sie dann alle ausgegrauten Felder.</t>
  </si>
  <si>
    <t>Please select from dropdown if your company has a risk insurance. Please fill in all grey cells.</t>
  </si>
  <si>
    <t>Liste der Anlagen (als PDF Dateien)</t>
  </si>
  <si>
    <t>List of attachments (as PDF files)</t>
  </si>
  <si>
    <t>Bitte Nachweis als Anlage beifügen.</t>
  </si>
  <si>
    <t>Please attach proof of this.</t>
  </si>
  <si>
    <t>DUNS-Nummer (wenn vorhanden):</t>
  </si>
  <si>
    <t>DUNS-Number (if available):</t>
  </si>
  <si>
    <t>Bitte deklarieren Sie Ihr Portfolio über das Drobdown-Menü. Mindestens eine Auswahl ist verpflichtend. Nur so können wir Ihre Empfehlung richtig zuordnen. Nicht ausgefüllte Technologie-Klassifikationen führen zur Löschung.</t>
  </si>
  <si>
    <t>Please declare your portfolio via the drop-down menu. Minimun one selections is mandatory. This is the only way we can correctly assign your recommendation. Technology classifications that are not filled in will lead to delation.</t>
  </si>
  <si>
    <t xml:space="preserve"> </t>
  </si>
  <si>
    <t>Bereich A:</t>
  </si>
  <si>
    <t>Bereich C:</t>
  </si>
  <si>
    <t>6. Social Responsibility</t>
  </si>
  <si>
    <t>6. Soziale Verantwortung</t>
  </si>
  <si>
    <t>5. Bewertung HSE- / Energie- / Informatinssicherheit Management</t>
  </si>
  <si>
    <t>5. Evaluation of HSE- / Energy- / Information Security Management</t>
  </si>
  <si>
    <t>4. Qualität</t>
  </si>
  <si>
    <t>4. Quality</t>
  </si>
  <si>
    <t>3. Finanzen</t>
  </si>
  <si>
    <t>3. Financials</t>
  </si>
  <si>
    <t>1. Firmenprofil</t>
  </si>
  <si>
    <t>1. Company Profile</t>
  </si>
  <si>
    <t>2. Portfolio</t>
  </si>
  <si>
    <r>
      <t>1. Wie man "A Profil &amp; Portfolio"</t>
    </r>
    <r>
      <rPr>
        <sz val="11"/>
        <color theme="1"/>
        <rFont val="Arial"/>
        <family val="2"/>
      </rPr>
      <t xml:space="preserve"> </t>
    </r>
    <r>
      <rPr>
        <b/>
        <sz val="11"/>
        <color theme="1"/>
        <rFont val="Arial"/>
        <family val="2"/>
      </rPr>
      <t>benutzt</t>
    </r>
  </si>
  <si>
    <t>2. Wie man "B Financial &amp; Quality" benutzt</t>
  </si>
  <si>
    <t>4. Wie man "D Social Responsibility" benutzt</t>
  </si>
  <si>
    <t>4. How to use "D Social Responsibility"</t>
  </si>
  <si>
    <t>2. How to use "B Financial &amp; Quality"</t>
  </si>
  <si>
    <t>1. How to use "A Profile &amp; Portfolio"</t>
  </si>
  <si>
    <t>Please indicate if your company has an EDI connection.</t>
  </si>
  <si>
    <t xml:space="preserve">
Sehr geehrte Damen und Herren, 
wir freuen uns, das Sie sich für eine mögliche Zusammenarbeit mit der BENTELER Automotive empfehlen möchten. Bitte beachten Sie, das Ihre Empfehlung nur für diese Division gilt und an die Akzeptanz unserer Einkauf- und Lieferbedingunen.
Um Ihr Unternehmen bei anstehenden Projekten berücksichtigen zu können ist es notwendig, diesen Empfehlungsbogen und die unten genannten Anlagen möglichst vollständig einzureichen -  die Einreichung ist keine Garantie für eine Kooperation. 
Bitte füllen Sie alle grauen Felder aus, teilweise steht Ihnen eine dropdown-Liste zur Beantwortung zur Verfügung (Hinweis: Please select!).
Wir bitten um Ihr Verständnis, dass uns eine Beantwortung nicht möglich ist und wir nur im Falle einer tatsächlichen Anfrage auf Sie zukommen werden. Von Rückfragen bitten wir daher abzusehen. 
Bitte senden Sie alle Unterlagen in einer E-Mail an „apply.batsupplier@benteler.com“ – diese Postbox ist ausschliesslich den Empfehlungsbögen nebst Anlagen vorbehalten. Anderweitige Zusendung werden automatisch gelöscht.
</t>
  </si>
  <si>
    <t xml:space="preserve">
Dear Sir or Madam, 
We are pleased that you would like to recommend yourself for a possible cooperation 
with BENTELER Automotive. Please note that your recommendation is only valid for 
this division.
In order to be able to consider your company in upcoming projects, it is necessary to submit this recommendation form and the mentioned attachments down below as complete as possible. However, the submission is without any guarantee of an cooperation.
Please fill in all gray fields, in some cases a dropdown list is available for you to answer (Note: Please select!).
We ask for your understanding that it is not  possible for us to reply and that we will only contact you in case of an actual request. We therefore ask you to refrain from making inquiries. 
Please send all documents in one e-mail to "apply.batsupplier@benteler.com" – this mailbox is exclusively reserved for our supplier recommendations. Other sending will be automatically deleted. </t>
  </si>
  <si>
    <t>Please provide details about your portfolio and select it from the dropdown list.</t>
  </si>
  <si>
    <t>3. Wie man "C HSE Evaluation" benutzt</t>
  </si>
  <si>
    <t>3. How to use "C HSE Evaluation"</t>
  </si>
  <si>
    <t>Bereich D:</t>
  </si>
  <si>
    <t>Section D:</t>
  </si>
  <si>
    <t>Kopie der Managenment-Zertifikate</t>
  </si>
  <si>
    <t>Copy of management certificates</t>
  </si>
  <si>
    <t>Zertifikat des Nachhaltigkeitsrankings</t>
  </si>
  <si>
    <t>Third Party Sustainability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</si>
</sst>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yyyy\-mm\-dd"/>
    <numFmt numFmtId="166" formatCode="#,##0\ &quot;€&quot;"/>
    <numFmt numFmtId="167" formatCode="#,##0.0"/>
  </numFmts>
  <fonts count="43">
    <font>
      <sz val="10"/>
      <name val="Arial"/>
    </font>
    <font>
      <sz val="10"/>
      <name val="Arial"/>
      <family val="2"/>
    </font>
    <font>
      <sz val="8"/>
      <name val="Arial"/>
      <family val="2"/>
    </font>
    <font>
      <sz val="11"/>
      <name val="Arial"/>
      <family val="2"/>
    </font>
    <font>
      <b/>
      <sz val="11"/>
      <name val="Arial"/>
      <family val="2"/>
    </font>
    <font>
      <b/>
      <sz val="10"/>
      <name val="Arial"/>
      <family val="2"/>
    </font>
    <font>
      <sz val="9"/>
      <name val="Arial"/>
      <family val="2"/>
    </font>
    <font>
      <sz val="9"/>
      <name val="Arial"/>
      <family val="2"/>
    </font>
    <font>
      <sz val="10"/>
      <name val="Arial"/>
      <family val="2"/>
    </font>
    <font>
      <b/>
      <sz val="9"/>
      <name val="Arial"/>
      <family val="2"/>
    </font>
    <font>
      <b/>
      <sz val="11"/>
      <color indexed="8"/>
      <name val="Arial"/>
      <family val="2"/>
    </font>
    <font>
      <i/>
      <sz val="10"/>
      <name val="Arial"/>
      <family val="2"/>
    </font>
    <font>
      <sz val="10"/>
      <color indexed="8"/>
      <name val="Arial"/>
      <family val="2"/>
    </font>
    <font>
      <sz val="9"/>
      <color indexed="8"/>
      <name val="Arial"/>
      <family val="2"/>
    </font>
    <font>
      <sz val="11"/>
      <color indexed="8"/>
      <name val="Arial"/>
      <family val="2"/>
    </font>
    <font>
      <sz val="10"/>
      <name val="Arial"/>
      <family val="2"/>
    </font>
    <font>
      <b/>
      <sz val="12"/>
      <name val="Arial"/>
      <family val="2"/>
    </font>
    <font>
      <sz val="12"/>
      <name val="Arial"/>
      <family val="2"/>
    </font>
    <font>
      <b/>
      <i/>
      <sz val="18"/>
      <name val="Arial"/>
      <family val="2"/>
    </font>
    <font>
      <u/>
      <sz val="10"/>
      <color indexed="12"/>
      <name val="Arial"/>
      <family val="2"/>
    </font>
    <font>
      <b/>
      <i/>
      <sz val="20"/>
      <name val="Arial"/>
      <family val="2"/>
    </font>
    <font>
      <b/>
      <sz val="9"/>
      <color indexed="8"/>
      <name val="Arial"/>
      <family val="2"/>
    </font>
    <font>
      <sz val="10"/>
      <color rgb="FF000000"/>
      <name val="Arial"/>
      <family val="2"/>
    </font>
    <font>
      <sz val="10"/>
      <color rgb="FF222222"/>
      <name val="Arial"/>
      <family val="2"/>
    </font>
    <font>
      <i/>
      <sz val="11"/>
      <name val="Arial"/>
      <family val="2"/>
    </font>
    <font>
      <b/>
      <sz val="16"/>
      <name val="Arial"/>
      <family val="2"/>
    </font>
    <font>
      <sz val="10"/>
      <color rgb="FFFF0000"/>
      <name val="Arial"/>
      <family val="2"/>
    </font>
    <font>
      <b/>
      <sz val="26"/>
      <name val="Arial"/>
      <family val="2"/>
    </font>
    <font>
      <i/>
      <sz val="10"/>
      <color rgb="FFFF0000"/>
      <name val="Arial"/>
      <family val="2"/>
    </font>
    <font>
      <b/>
      <i/>
      <sz val="14"/>
      <name val="Arial"/>
      <family val="2"/>
    </font>
    <font>
      <b/>
      <sz val="10"/>
      <color theme="1"/>
      <name val="Arial"/>
      <family val="2"/>
    </font>
    <font>
      <b/>
      <sz val="26"/>
      <color theme="1"/>
      <name val="Arial"/>
      <family val="2"/>
    </font>
    <font>
      <b/>
      <sz val="11"/>
      <color theme="1"/>
      <name val="Arial"/>
      <family val="2"/>
    </font>
    <font>
      <sz val="11"/>
      <color theme="1"/>
      <name val="Arial"/>
      <family val="2"/>
    </font>
    <font>
      <b/>
      <sz val="12"/>
      <color theme="0"/>
      <name val="Arial"/>
      <family val="2"/>
    </font>
    <font>
      <b/>
      <sz val="16"/>
      <color theme="0"/>
      <name val="Arial"/>
      <family val="2"/>
    </font>
    <font>
      <sz val="16"/>
      <name val="Arial"/>
      <family val="2"/>
    </font>
    <font>
      <b/>
      <sz val="15"/>
      <color theme="0"/>
      <name val="Arial"/>
      <family val="2"/>
    </font>
    <font>
      <sz val="15"/>
      <name val="Arial"/>
      <family val="2"/>
    </font>
    <font>
      <b/>
      <i/>
      <sz val="26"/>
      <name val="Arial"/>
      <family val="2"/>
    </font>
    <font>
      <i/>
      <sz val="9"/>
      <color theme="1" tint="0.39997558519241921"/>
      <name val="Arial"/>
      <family val="2"/>
    </font>
    <font>
      <b/>
      <sz val="10"/>
      <color rgb="FFFF0000"/>
      <name val="Arial"/>
      <family val="2"/>
    </font>
    <font>
      <sz val="9"/>
      <color theme="0"/>
      <name val="Arial"/>
      <family val="2"/>
    </font>
  </fonts>
  <fills count="16">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9933"/>
        <bgColor indexed="64"/>
      </patternFill>
    </fill>
    <fill>
      <patternFill patternType="solid">
        <fgColor theme="1" tint="0.79998168889431442"/>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indexed="64"/>
      </right>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19" fillId="0" borderId="0" applyNumberFormat="0" applyFill="0" applyBorder="0" applyAlignment="0" applyProtection="0">
      <alignment vertical="top"/>
      <protection locked="0"/>
    </xf>
    <xf numFmtId="9" fontId="15" fillId="0" borderId="0" applyFont="0" applyFill="0" applyBorder="0" applyAlignment="0" applyProtection="0"/>
    <xf numFmtId="0" fontId="1" fillId="0" borderId="0"/>
    <xf numFmtId="164" fontId="1" fillId="0" borderId="0"/>
  </cellStyleXfs>
  <cellXfs count="592">
    <xf numFmtId="0" fontId="0" fillId="0" borderId="0" xfId="0"/>
    <xf numFmtId="0" fontId="0" fillId="0" borderId="0" xfId="0" applyNumberFormat="1"/>
    <xf numFmtId="0" fontId="1" fillId="0" borderId="0" xfId="0" applyNumberFormat="1" applyFont="1"/>
    <xf numFmtId="0" fontId="0" fillId="0" borderId="0" xfId="0" applyNumberFormat="1" applyFont="1"/>
    <xf numFmtId="0" fontId="1" fillId="3" borderId="0" xfId="0" applyNumberFormat="1" applyFont="1" applyFill="1"/>
    <xf numFmtId="0" fontId="1" fillId="0" borderId="0" xfId="0" quotePrefix="1" applyNumberFormat="1" applyFont="1"/>
    <xf numFmtId="0" fontId="1" fillId="0" borderId="0" xfId="0" applyNumberFormat="1" applyFont="1" applyBorder="1" applyAlignment="1">
      <alignment horizontal="left" vertical="top" wrapText="1"/>
    </xf>
    <xf numFmtId="0" fontId="1" fillId="0" borderId="0" xfId="0" applyNumberFormat="1" applyFont="1" applyAlignment="1">
      <alignment horizontal="left" vertical="top" wrapText="1"/>
    </xf>
    <xf numFmtId="0" fontId="0" fillId="0" borderId="0" xfId="0" applyNumberFormat="1" applyFont="1" applyAlignment="1"/>
    <xf numFmtId="0" fontId="1" fillId="0" borderId="0" xfId="0" applyFont="1"/>
    <xf numFmtId="0" fontId="1" fillId="0" borderId="0" xfId="0" applyNumberFormat="1" applyFont="1" applyFill="1"/>
    <xf numFmtId="0" fontId="0" fillId="0" borderId="0" xfId="0" applyNumberFormat="1" applyFill="1"/>
    <xf numFmtId="0" fontId="0" fillId="0" borderId="0" xfId="0" applyFill="1"/>
    <xf numFmtId="0" fontId="0" fillId="0" borderId="38" xfId="0" applyBorder="1" applyProtection="1"/>
    <xf numFmtId="0" fontId="0" fillId="0" borderId="0" xfId="0" applyProtection="1"/>
    <xf numFmtId="0" fontId="18" fillId="0" borderId="29" xfId="0" applyFont="1" applyBorder="1" applyAlignment="1" applyProtection="1">
      <alignment horizontal="center" vertical="center"/>
    </xf>
    <xf numFmtId="0" fontId="0" fillId="0" borderId="29" xfId="0" applyBorder="1" applyProtection="1"/>
    <xf numFmtId="0" fontId="6" fillId="0" borderId="0" xfId="0" applyFont="1" applyProtection="1"/>
    <xf numFmtId="0" fontId="1" fillId="0" borderId="0" xfId="0" applyFont="1" applyBorder="1" applyAlignment="1" applyProtection="1">
      <alignment horizontal="left" vertical="center"/>
    </xf>
    <xf numFmtId="0" fontId="0" fillId="0" borderId="0" xfId="0" applyBorder="1" applyProtection="1"/>
    <xf numFmtId="0" fontId="0" fillId="0" borderId="0" xfId="0" applyBorder="1" applyAlignment="1" applyProtection="1">
      <alignment vertical="center"/>
    </xf>
    <xf numFmtId="0" fontId="0" fillId="2" borderId="0" xfId="0" applyFill="1" applyProtection="1"/>
    <xf numFmtId="0" fontId="20" fillId="4" borderId="29" xfId="0" applyFont="1" applyFill="1" applyBorder="1" applyAlignment="1" applyProtection="1">
      <alignment horizontal="center" vertical="center"/>
    </xf>
    <xf numFmtId="0" fontId="10" fillId="2" borderId="0"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0" fillId="2" borderId="0" xfId="0" applyFill="1" applyBorder="1" applyProtection="1"/>
    <xf numFmtId="0" fontId="1" fillId="4" borderId="0" xfId="0" applyFont="1" applyFill="1" applyAlignment="1" applyProtection="1">
      <alignment vertical="top"/>
    </xf>
    <xf numFmtId="0" fontId="8" fillId="4" borderId="0" xfId="0" applyFont="1" applyFill="1" applyProtection="1"/>
    <xf numFmtId="0" fontId="20" fillId="0" borderId="38" xfId="0" applyFont="1" applyBorder="1" applyAlignment="1" applyProtection="1">
      <alignment vertical="center"/>
    </xf>
    <xf numFmtId="0" fontId="6" fillId="0" borderId="0" xfId="0" applyFont="1" applyBorder="1" applyAlignment="1" applyProtection="1">
      <alignment horizontal="left"/>
    </xf>
    <xf numFmtId="0" fontId="12" fillId="0" borderId="0" xfId="0" applyFont="1" applyProtection="1"/>
    <xf numFmtId="0" fontId="21" fillId="0" borderId="1" xfId="0" applyFont="1" applyBorder="1" applyAlignment="1" applyProtection="1">
      <alignment horizontal="center"/>
    </xf>
    <xf numFmtId="0" fontId="6" fillId="0" borderId="0" xfId="0" applyFont="1" applyBorder="1" applyAlignment="1" applyProtection="1">
      <alignment horizont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13" fillId="0" borderId="0" xfId="0" applyFont="1" applyAlignment="1" applyProtection="1">
      <alignment vertical="top"/>
    </xf>
    <xf numFmtId="0" fontId="4" fillId="0" borderId="0" xfId="0" applyFont="1" applyProtection="1"/>
    <xf numFmtId="0" fontId="0" fillId="0" borderId="0" xfId="0" applyAlignment="1" applyProtection="1"/>
    <xf numFmtId="0" fontId="11" fillId="0" borderId="0" xfId="0" applyFont="1" applyFill="1" applyBorder="1" applyAlignment="1" applyProtection="1">
      <alignment horizontal="left"/>
    </xf>
    <xf numFmtId="0" fontId="16" fillId="0" borderId="0" xfId="0" applyFont="1" applyFill="1" applyBorder="1" applyAlignment="1" applyProtection="1">
      <alignment horizontal="left"/>
    </xf>
    <xf numFmtId="0" fontId="6" fillId="0" borderId="0" xfId="0" applyFont="1" applyFill="1" applyProtection="1"/>
    <xf numFmtId="0" fontId="7" fillId="0" borderId="0" xfId="0" applyFont="1" applyProtection="1"/>
    <xf numFmtId="0" fontId="7" fillId="0" borderId="0" xfId="0" applyFont="1" applyFill="1" applyProtection="1"/>
    <xf numFmtId="0" fontId="7" fillId="0" borderId="0" xfId="0" applyFont="1" applyAlignment="1" applyProtection="1">
      <alignment vertical="top"/>
    </xf>
    <xf numFmtId="0" fontId="7" fillId="0" borderId="0" xfId="0" applyFont="1" applyFill="1" applyAlignment="1" applyProtection="1">
      <alignment vertical="top"/>
    </xf>
    <xf numFmtId="0" fontId="8" fillId="0" borderId="0" xfId="0" quotePrefix="1" applyFont="1" applyBorder="1" applyAlignment="1" applyProtection="1">
      <alignment horizontal="center" vertical="top"/>
    </xf>
    <xf numFmtId="0" fontId="8" fillId="0" borderId="0" xfId="0" applyFont="1" applyBorder="1" applyAlignment="1" applyProtection="1">
      <alignment horizontal="left" vertical="top" wrapText="1"/>
    </xf>
    <xf numFmtId="0" fontId="5" fillId="0" borderId="0" xfId="0" applyFont="1" applyFill="1" applyBorder="1" applyAlignment="1" applyProtection="1">
      <alignment vertical="top" wrapText="1"/>
    </xf>
    <xf numFmtId="0" fontId="7" fillId="4" borderId="0" xfId="0" applyFont="1" applyFill="1" applyProtection="1"/>
    <xf numFmtId="0" fontId="8" fillId="0" borderId="0" xfId="0" applyFont="1" applyBorder="1" applyAlignment="1" applyProtection="1">
      <alignment horizontal="center" vertical="top"/>
    </xf>
    <xf numFmtId="16" fontId="1" fillId="0" borderId="0" xfId="3" quotePrefix="1" applyNumberFormat="1" applyFont="1" applyBorder="1" applyAlignment="1" applyProtection="1">
      <alignment horizontal="center" vertical="top"/>
    </xf>
    <xf numFmtId="0" fontId="1" fillId="0" borderId="0" xfId="3" applyFont="1" applyFill="1" applyBorder="1" applyAlignment="1" applyProtection="1">
      <alignment horizontal="left" vertical="top" wrapText="1"/>
    </xf>
    <xf numFmtId="0" fontId="5" fillId="0" borderId="0" xfId="3" applyFont="1" applyFill="1" applyBorder="1" applyAlignment="1" applyProtection="1">
      <alignment vertical="top" wrapText="1"/>
    </xf>
    <xf numFmtId="0" fontId="1" fillId="0" borderId="0" xfId="3" applyFont="1" applyBorder="1" applyAlignment="1" applyProtection="1">
      <alignment horizontal="left" vertical="top" wrapText="1"/>
    </xf>
    <xf numFmtId="0" fontId="1" fillId="0" borderId="0" xfId="3" quotePrefix="1" applyFont="1" applyAlignment="1" applyProtection="1">
      <alignment horizontal="center"/>
    </xf>
    <xf numFmtId="0" fontId="1" fillId="0" borderId="0" xfId="3" applyFont="1" applyProtection="1"/>
    <xf numFmtId="0" fontId="0" fillId="0" borderId="5" xfId="0" applyFill="1" applyBorder="1" applyAlignment="1" applyProtection="1">
      <alignment vertical="top"/>
    </xf>
    <xf numFmtId="0" fontId="1" fillId="0" borderId="5" xfId="3" applyFont="1" applyFill="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9" fillId="0" borderId="0" xfId="0" applyFont="1" applyBorder="1" applyAlignment="1">
      <alignment horizontal="center" vertical="center"/>
    </xf>
    <xf numFmtId="0" fontId="4" fillId="0" borderId="0" xfId="0" applyFont="1" applyBorder="1" applyAlignment="1">
      <alignment horizontal="right" vertical="center" wrapText="1"/>
    </xf>
    <xf numFmtId="0" fontId="2" fillId="0" borderId="32"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NumberFormat="1" applyFont="1" applyBorder="1" applyAlignment="1">
      <alignment horizontal="center" vertical="center"/>
    </xf>
    <xf numFmtId="0" fontId="1" fillId="0" borderId="58" xfId="0" applyFont="1" applyBorder="1" applyAlignment="1">
      <alignment horizontal="center" vertical="center" wrapText="1"/>
    </xf>
    <xf numFmtId="0" fontId="0" fillId="0" borderId="0" xfId="0" applyBorder="1"/>
    <xf numFmtId="0" fontId="0" fillId="0" borderId="0" xfId="0" applyAlignment="1">
      <alignment horizontal="left" vertical="top" wrapText="1"/>
    </xf>
    <xf numFmtId="0" fontId="0" fillId="0" borderId="59" xfId="0" applyBorder="1"/>
    <xf numFmtId="0" fontId="0" fillId="0" borderId="62" xfId="0" applyBorder="1"/>
    <xf numFmtId="0" fontId="0" fillId="0" borderId="64" xfId="0" applyBorder="1"/>
    <xf numFmtId="0" fontId="0" fillId="0" borderId="65" xfId="0" applyBorder="1"/>
    <xf numFmtId="0" fontId="0" fillId="0" borderId="66" xfId="0" applyBorder="1"/>
    <xf numFmtId="0" fontId="0" fillId="0" borderId="60" xfId="0" applyBorder="1"/>
    <xf numFmtId="0" fontId="0" fillId="0" borderId="67" xfId="0" applyBorder="1"/>
    <xf numFmtId="0" fontId="5" fillId="5" borderId="7" xfId="0" applyFont="1" applyFill="1" applyBorder="1"/>
    <xf numFmtId="0" fontId="5" fillId="5" borderId="34" xfId="0" applyFont="1" applyFill="1" applyBorder="1"/>
    <xf numFmtId="0" fontId="5" fillId="5" borderId="4" xfId="0" applyFont="1" applyFill="1" applyBorder="1"/>
    <xf numFmtId="14" fontId="0" fillId="0" borderId="61" xfId="0" applyNumberFormat="1" applyBorder="1" applyAlignment="1">
      <alignment vertical="top"/>
    </xf>
    <xf numFmtId="0" fontId="1" fillId="0" borderId="59" xfId="0" quotePrefix="1" applyFont="1" applyBorder="1" applyAlignment="1">
      <alignment vertical="top" wrapText="1"/>
    </xf>
    <xf numFmtId="0" fontId="0" fillId="0" borderId="0" xfId="0" applyFill="1" applyBorder="1"/>
    <xf numFmtId="0" fontId="1" fillId="0" borderId="0" xfId="0" applyFont="1" applyFill="1" applyBorder="1" applyAlignment="1" applyProtection="1">
      <alignment horizontal="left" vertical="center" wrapText="1"/>
    </xf>
    <xf numFmtId="0" fontId="1" fillId="0" borderId="0" xfId="0" applyFont="1" applyBorder="1"/>
    <xf numFmtId="0" fontId="1" fillId="0" borderId="0" xfId="0" applyFont="1" applyFill="1" applyBorder="1"/>
    <xf numFmtId="0" fontId="0" fillId="3" borderId="0" xfId="0" applyFill="1"/>
    <xf numFmtId="9" fontId="0" fillId="0" borderId="0" xfId="0" applyNumberFormat="1" applyAlignment="1">
      <alignment horizontal="center" vertical="center"/>
    </xf>
    <xf numFmtId="0" fontId="22" fillId="0" borderId="0" xfId="0" applyFont="1" applyBorder="1" applyAlignment="1">
      <alignment vertical="center" wrapText="1"/>
    </xf>
    <xf numFmtId="0" fontId="0" fillId="0" borderId="0" xfId="0" applyAlignment="1">
      <alignment horizontal="left" vertical="center"/>
    </xf>
    <xf numFmtId="166" fontId="1" fillId="4" borderId="28" xfId="0" applyNumberFormat="1" applyFont="1" applyFill="1" applyBorder="1" applyAlignment="1" applyProtection="1">
      <alignment vertical="center"/>
      <protection locked="0"/>
    </xf>
    <xf numFmtId="0" fontId="1" fillId="0" borderId="59" xfId="0" applyFont="1" applyBorder="1" applyAlignment="1">
      <alignment vertical="top"/>
    </xf>
    <xf numFmtId="14" fontId="0" fillId="0" borderId="61" xfId="0" applyNumberFormat="1" applyBorder="1"/>
    <xf numFmtId="14" fontId="0" fillId="0" borderId="63" xfId="0" applyNumberFormat="1" applyBorder="1"/>
    <xf numFmtId="49" fontId="1" fillId="0" borderId="59" xfId="0" applyNumberFormat="1" applyFont="1" applyBorder="1" applyAlignment="1">
      <alignment vertical="top" wrapText="1"/>
    </xf>
    <xf numFmtId="0" fontId="1" fillId="0" borderId="62" xfId="0" applyFont="1" applyBorder="1" applyAlignment="1">
      <alignment vertical="top"/>
    </xf>
    <xf numFmtId="0" fontId="0" fillId="0" borderId="59" xfId="0" applyBorder="1" applyAlignment="1">
      <alignment vertical="top"/>
    </xf>
    <xf numFmtId="0" fontId="1" fillId="0" borderId="0" xfId="0" applyFont="1" applyProtection="1"/>
    <xf numFmtId="0" fontId="6" fillId="0" borderId="0" xfId="0" applyFont="1" applyAlignment="1" applyProtection="1">
      <alignment vertical="top"/>
    </xf>
    <xf numFmtId="0" fontId="17" fillId="0" borderId="0" xfId="0" applyFont="1" applyFill="1" applyAlignment="1" applyProtection="1">
      <alignment horizontal="center" vertical="top"/>
    </xf>
    <xf numFmtId="0" fontId="11" fillId="2" borderId="0" xfId="0" applyFont="1" applyFill="1" applyProtection="1"/>
    <xf numFmtId="0" fontId="1" fillId="0" borderId="62" xfId="0" applyFont="1" applyBorder="1" applyAlignment="1">
      <alignment vertical="top" wrapText="1"/>
    </xf>
    <xf numFmtId="0" fontId="1" fillId="0" borderId="59" xfId="0" applyFont="1" applyBorder="1" applyAlignment="1">
      <alignment vertical="top" wrapText="1"/>
    </xf>
    <xf numFmtId="0" fontId="1" fillId="4" borderId="0" xfId="4" applyNumberFormat="1" applyFont="1" applyFill="1" applyBorder="1" applyAlignment="1">
      <alignment vertical="top"/>
    </xf>
    <xf numFmtId="0" fontId="5" fillId="0" borderId="0" xfId="0" applyNumberFormat="1" applyFont="1"/>
    <xf numFmtId="0" fontId="5" fillId="0" borderId="0" xfId="0" applyFont="1"/>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NumberFormat="1" applyAlignment="1">
      <alignment horizontal="left" vertical="top" wrapText="1"/>
    </xf>
    <xf numFmtId="0" fontId="5" fillId="0" borderId="0" xfId="0" applyNumberFormat="1" applyFont="1" applyAlignment="1">
      <alignment horizontal="left" vertical="top" wrapText="1"/>
    </xf>
    <xf numFmtId="0" fontId="1" fillId="0" borderId="0" xfId="0" applyNumberFormat="1" applyFont="1" applyFill="1" applyAlignment="1">
      <alignment horizontal="left" vertical="top" wrapText="1"/>
    </xf>
    <xf numFmtId="0" fontId="0" fillId="3" borderId="0" xfId="0" applyNumberFormat="1" applyFill="1" applyAlignment="1">
      <alignment horizontal="left" vertical="top" wrapText="1"/>
    </xf>
    <xf numFmtId="0" fontId="1" fillId="3" borderId="0" xfId="0" applyNumberFormat="1" applyFont="1" applyFill="1" applyAlignment="1">
      <alignment horizontal="left" vertical="top" wrapText="1"/>
    </xf>
    <xf numFmtId="0" fontId="1" fillId="0" borderId="0" xfId="0" applyFont="1" applyAlignment="1">
      <alignment horizontal="left" vertical="top" wrapText="1"/>
    </xf>
    <xf numFmtId="0" fontId="1" fillId="0" borderId="0" xfId="3" applyNumberFormat="1" applyFont="1" applyFill="1" applyBorder="1" applyAlignment="1">
      <alignment horizontal="left" vertical="top" wrapText="1"/>
    </xf>
    <xf numFmtId="0" fontId="0" fillId="0" borderId="0" xfId="0" quotePrefix="1" applyNumberFormat="1" applyAlignment="1">
      <alignment horizontal="left" vertical="top" wrapText="1"/>
    </xf>
    <xf numFmtId="0" fontId="23"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1" fillId="0" borderId="0" xfId="0" quotePrefix="1" applyNumberFormat="1" applyFont="1" applyAlignment="1">
      <alignment horizontal="left" vertical="top" wrapText="1"/>
    </xf>
    <xf numFmtId="0" fontId="6"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8" fillId="0" borderId="0" xfId="0" applyFont="1" applyBorder="1" applyAlignment="1">
      <alignment horizontal="left" vertical="top" wrapText="1"/>
    </xf>
    <xf numFmtId="0" fontId="1" fillId="0" borderId="0" xfId="3" applyFont="1" applyBorder="1" applyAlignment="1">
      <alignment horizontal="left" vertical="top" wrapText="1"/>
    </xf>
    <xf numFmtId="0" fontId="1" fillId="0" borderId="0" xfId="3" applyFont="1" applyFill="1" applyBorder="1" applyAlignment="1">
      <alignment horizontal="left" vertical="top" wrapText="1"/>
    </xf>
    <xf numFmtId="0" fontId="4" fillId="0" borderId="0" xfId="3" applyFont="1" applyFill="1" applyBorder="1" applyAlignment="1">
      <alignment horizontal="left" vertical="top" wrapText="1"/>
    </xf>
    <xf numFmtId="0" fontId="5" fillId="0" borderId="0" xfId="3"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Alignment="1">
      <alignment horizontal="left" vertical="top" wrapText="1"/>
    </xf>
    <xf numFmtId="0" fontId="26" fillId="4" borderId="0" xfId="0" applyFont="1" applyFill="1" applyAlignment="1">
      <alignment horizontal="left" vertical="top" wrapText="1"/>
    </xf>
    <xf numFmtId="0" fontId="6" fillId="0" borderId="0" xfId="0" applyFont="1" applyBorder="1" applyAlignment="1" applyProtection="1">
      <alignment horizontal="left"/>
    </xf>
    <xf numFmtId="0" fontId="1" fillId="7" borderId="0" xfId="0" applyNumberFormat="1" applyFont="1" applyFill="1" applyAlignment="1">
      <alignment horizontal="left" vertical="top" wrapText="1"/>
    </xf>
    <xf numFmtId="0" fontId="26" fillId="0" borderId="0" xfId="0" applyNumberFormat="1" applyFont="1" applyAlignment="1">
      <alignment horizontal="left" vertical="top" wrapText="1"/>
    </xf>
    <xf numFmtId="0" fontId="26" fillId="0" borderId="0" xfId="0" applyNumberFormat="1" applyFont="1" applyFill="1" applyBorder="1" applyAlignment="1">
      <alignment horizontal="left" vertical="top" wrapText="1"/>
    </xf>
    <xf numFmtId="0" fontId="1" fillId="4" borderId="0" xfId="0" applyFont="1" applyFill="1" applyBorder="1" applyAlignment="1">
      <alignment vertical="top"/>
    </xf>
    <xf numFmtId="0" fontId="1" fillId="4" borderId="0" xfId="0" applyFont="1" applyFill="1" applyBorder="1" applyAlignment="1">
      <alignment horizontal="center" vertical="center" wrapText="1"/>
    </xf>
    <xf numFmtId="0" fontId="1" fillId="4" borderId="0" xfId="0" applyFont="1" applyFill="1" applyBorder="1" applyAlignment="1">
      <alignment vertical="top" wrapText="1"/>
    </xf>
    <xf numFmtId="0" fontId="5" fillId="4" borderId="0" xfId="0" applyFont="1" applyFill="1" applyBorder="1" applyAlignment="1">
      <alignment vertical="center" wrapText="1"/>
    </xf>
    <xf numFmtId="0" fontId="1" fillId="4" borderId="0" xfId="0" applyFont="1" applyFill="1" applyAlignment="1" applyProtection="1">
      <alignment wrapText="1"/>
    </xf>
    <xf numFmtId="0" fontId="1" fillId="4" borderId="0" xfId="0" applyFont="1" applyFill="1" applyProtection="1"/>
    <xf numFmtId="0" fontId="1" fillId="4" borderId="0" xfId="0" applyFont="1" applyFill="1"/>
    <xf numFmtId="0" fontId="1" fillId="4" borderId="0" xfId="0" applyFont="1" applyFill="1" applyAlignment="1"/>
    <xf numFmtId="0" fontId="1" fillId="4" borderId="0" xfId="0" applyFont="1" applyFill="1" applyAlignment="1">
      <alignment wrapText="1"/>
    </xf>
    <xf numFmtId="0" fontId="5" fillId="4" borderId="0" xfId="0" applyFont="1" applyFill="1" applyBorder="1" applyAlignment="1">
      <alignment horizontal="center" vertical="center" wrapText="1"/>
    </xf>
    <xf numFmtId="0" fontId="4" fillId="4" borderId="0" xfId="0" applyFont="1" applyFill="1" applyBorder="1" applyAlignment="1">
      <alignment vertical="center" wrapText="1"/>
    </xf>
    <xf numFmtId="0" fontId="3" fillId="4" borderId="0" xfId="0" applyFont="1" applyFill="1" applyAlignment="1"/>
    <xf numFmtId="0" fontId="3" fillId="4" borderId="0" xfId="0" applyFont="1" applyFill="1" applyAlignment="1">
      <alignment wrapText="1"/>
    </xf>
    <xf numFmtId="0" fontId="3" fillId="4" borderId="0" xfId="0" applyFont="1" applyFill="1" applyBorder="1" applyAlignment="1">
      <alignment vertical="center" wrapText="1"/>
    </xf>
    <xf numFmtId="0" fontId="0" fillId="0" borderId="0" xfId="0" applyAlignment="1" applyProtection="1">
      <alignment wrapText="1"/>
    </xf>
    <xf numFmtId="0" fontId="0" fillId="4" borderId="0" xfId="0" applyFill="1"/>
    <xf numFmtId="0" fontId="9" fillId="0" borderId="35" xfId="0" applyFont="1" applyBorder="1" applyAlignment="1" applyProtection="1">
      <alignment horizontal="center"/>
    </xf>
    <xf numFmtId="0" fontId="9" fillId="0" borderId="36" xfId="0" applyFont="1" applyBorder="1" applyAlignment="1" applyProtection="1">
      <alignment horizontal="center" wrapText="1"/>
    </xf>
    <xf numFmtId="0" fontId="1" fillId="11" borderId="0" xfId="3" applyNumberFormat="1" applyFont="1" applyFill="1" applyBorder="1" applyAlignment="1">
      <alignment horizontal="left" vertical="top" wrapText="1"/>
    </xf>
    <xf numFmtId="0" fontId="1" fillId="4" borderId="0" xfId="0" applyFont="1" applyFill="1" applyAlignment="1">
      <alignment horizontal="center"/>
    </xf>
    <xf numFmtId="0" fontId="3" fillId="4" borderId="0" xfId="0" applyFont="1" applyFill="1"/>
    <xf numFmtId="0" fontId="1" fillId="4" borderId="0" xfId="0" applyFont="1" applyFill="1" applyBorder="1" applyAlignment="1" applyProtection="1">
      <alignment wrapText="1"/>
    </xf>
    <xf numFmtId="0" fontId="27" fillId="4" borderId="0" xfId="0" applyFont="1" applyFill="1" applyBorder="1" applyAlignment="1">
      <alignment vertical="center"/>
    </xf>
    <xf numFmtId="0" fontId="1" fillId="4" borderId="0" xfId="0" applyFont="1" applyFill="1" applyBorder="1" applyAlignment="1">
      <alignment wrapText="1"/>
    </xf>
    <xf numFmtId="0" fontId="1" fillId="4" borderId="18"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53" xfId="0" applyFont="1" applyFill="1" applyBorder="1" applyAlignment="1">
      <alignment vertical="top" wrapText="1"/>
    </xf>
    <xf numFmtId="0" fontId="5" fillId="4" borderId="18" xfId="0" applyFont="1" applyFill="1" applyBorder="1" applyAlignment="1">
      <alignment horizontal="center" vertical="center"/>
    </xf>
    <xf numFmtId="0" fontId="5" fillId="4" borderId="53" xfId="0" applyFont="1" applyFill="1" applyBorder="1" applyAlignment="1">
      <alignment horizontal="center" vertical="center"/>
    </xf>
    <xf numFmtId="0" fontId="1" fillId="4" borderId="46" xfId="0" applyFont="1" applyFill="1" applyBorder="1" applyAlignment="1">
      <alignment vertical="top" wrapText="1"/>
    </xf>
    <xf numFmtId="0" fontId="25" fillId="4" borderId="18" xfId="0" applyFont="1" applyFill="1" applyBorder="1" applyAlignment="1">
      <alignment horizontal="center" vertical="center"/>
    </xf>
    <xf numFmtId="0" fontId="1" fillId="4" borderId="53"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4" borderId="28" xfId="0" applyFont="1" applyFill="1" applyBorder="1" applyAlignment="1">
      <alignment vertical="top" wrapText="1"/>
    </xf>
    <xf numFmtId="0" fontId="1" fillId="4" borderId="43" xfId="0" applyFont="1" applyFill="1" applyBorder="1" applyAlignment="1">
      <alignment vertical="top" wrapText="1"/>
    </xf>
    <xf numFmtId="0" fontId="0" fillId="0" borderId="0" xfId="0" applyFill="1" applyProtection="1"/>
    <xf numFmtId="0" fontId="17" fillId="4" borderId="0" xfId="0" applyFont="1" applyFill="1" applyAlignment="1">
      <alignment horizontal="center"/>
    </xf>
    <xf numFmtId="0" fontId="0" fillId="0" borderId="0" xfId="0" applyAlignment="1" applyProtection="1">
      <alignment vertical="center"/>
    </xf>
    <xf numFmtId="0" fontId="1" fillId="0" borderId="0" xfId="0" applyFont="1" applyAlignment="1" applyProtection="1">
      <alignment vertical="center"/>
    </xf>
    <xf numFmtId="0" fontId="4" fillId="10" borderId="15" xfId="0" applyFont="1" applyFill="1" applyBorder="1" applyAlignment="1" applyProtection="1">
      <alignment horizontal="center" vertical="center"/>
    </xf>
    <xf numFmtId="0" fontId="4" fillId="10" borderId="31" xfId="0" applyFont="1" applyFill="1" applyBorder="1" applyAlignment="1" applyProtection="1">
      <alignment horizontal="center" vertical="center"/>
    </xf>
    <xf numFmtId="0" fontId="0" fillId="0" borderId="0" xfId="0" applyAlignment="1" applyProtection="1">
      <alignment horizontal="center" vertical="center"/>
    </xf>
    <xf numFmtId="0" fontId="36" fillId="0" borderId="0" xfId="0" applyFont="1" applyAlignment="1" applyProtection="1">
      <alignment horizontal="center" vertical="center"/>
    </xf>
    <xf numFmtId="0" fontId="38" fillId="0" borderId="0" xfId="0" applyFont="1" applyAlignment="1" applyProtection="1">
      <alignment horizontal="center" vertical="center"/>
    </xf>
    <xf numFmtId="0" fontId="20" fillId="0" borderId="29" xfId="0" applyFont="1" applyBorder="1" applyAlignment="1" applyProtection="1">
      <alignment horizontal="center" vertical="center"/>
    </xf>
    <xf numFmtId="0" fontId="1" fillId="0" borderId="35"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34" xfId="0" applyFont="1" applyFill="1" applyBorder="1" applyAlignment="1" applyProtection="1">
      <alignment horizontal="center"/>
      <protection locked="0"/>
    </xf>
    <xf numFmtId="0" fontId="1" fillId="0" borderId="22" xfId="0" applyFont="1" applyFill="1" applyBorder="1" applyAlignment="1" applyProtection="1">
      <alignment horizontal="left"/>
      <protection locked="0"/>
    </xf>
    <xf numFmtId="0" fontId="1" fillId="0" borderId="39" xfId="0"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26" xfId="0" applyFont="1" applyFill="1" applyBorder="1" applyAlignment="1" applyProtection="1">
      <alignment horizontal="center"/>
      <protection locked="0"/>
    </xf>
    <xf numFmtId="0" fontId="1" fillId="0" borderId="3" xfId="0" applyFont="1" applyFill="1" applyBorder="1" applyAlignment="1" applyProtection="1">
      <alignment horizontal="left" wrapText="1"/>
      <protection locked="0"/>
    </xf>
    <xf numFmtId="0" fontId="1" fillId="0" borderId="7" xfId="0" applyFont="1" applyFill="1" applyBorder="1" applyAlignment="1" applyProtection="1">
      <alignment horizontal="center"/>
      <protection locked="0"/>
    </xf>
    <xf numFmtId="0" fontId="1" fillId="0" borderId="41" xfId="0" applyFont="1" applyFill="1" applyBorder="1" applyAlignment="1" applyProtection="1">
      <alignment horizontal="center"/>
      <protection locked="0"/>
    </xf>
    <xf numFmtId="0" fontId="1" fillId="0" borderId="4" xfId="0" applyFont="1" applyFill="1" applyBorder="1" applyAlignment="1" applyProtection="1">
      <alignment horizontal="left" wrapText="1"/>
      <protection locked="0"/>
    </xf>
    <xf numFmtId="0" fontId="0" fillId="2" borderId="0" xfId="0" applyFill="1" applyAlignment="1" applyProtection="1">
      <alignment horizontal="center" vertical="center"/>
    </xf>
    <xf numFmtId="0" fontId="1" fillId="10" borderId="18" xfId="0" applyFont="1" applyFill="1" applyBorder="1" applyAlignment="1" applyProtection="1">
      <alignment vertical="center" wrapText="1"/>
    </xf>
    <xf numFmtId="0" fontId="26" fillId="4" borderId="0" xfId="0" applyFont="1" applyFill="1" applyBorder="1"/>
    <xf numFmtId="0" fontId="26" fillId="0" borderId="0" xfId="0" applyFont="1" applyBorder="1"/>
    <xf numFmtId="0" fontId="26" fillId="0" borderId="0" xfId="0" applyFont="1" applyFill="1" applyBorder="1"/>
    <xf numFmtId="0" fontId="26" fillId="4" borderId="0" xfId="0" applyFont="1" applyFill="1"/>
    <xf numFmtId="16" fontId="1" fillId="0" borderId="57" xfId="3" quotePrefix="1" applyNumberFormat="1" applyFont="1" applyBorder="1" applyAlignment="1" applyProtection="1">
      <alignment horizontal="center" vertical="top"/>
    </xf>
    <xf numFmtId="0" fontId="5" fillId="4" borderId="18" xfId="0" applyFont="1" applyFill="1" applyBorder="1" applyAlignment="1">
      <alignment horizontal="center" vertical="top" wrapText="1"/>
    </xf>
    <xf numFmtId="0" fontId="5" fillId="4" borderId="18" xfId="0" applyFont="1" applyFill="1" applyBorder="1" applyAlignment="1">
      <alignment horizontal="center" vertical="top"/>
    </xf>
    <xf numFmtId="0" fontId="1" fillId="4" borderId="49" xfId="0" applyFont="1" applyFill="1" applyBorder="1" applyAlignment="1">
      <alignment vertical="top" wrapText="1"/>
    </xf>
    <xf numFmtId="0" fontId="5" fillId="4" borderId="19" xfId="0" applyFont="1" applyFill="1" applyBorder="1" applyAlignment="1">
      <alignment horizontal="center" vertical="top" wrapText="1"/>
    </xf>
    <xf numFmtId="0" fontId="5" fillId="4" borderId="22" xfId="0" applyFont="1" applyFill="1" applyBorder="1" applyAlignment="1">
      <alignment horizontal="center" vertical="top"/>
    </xf>
    <xf numFmtId="0" fontId="1" fillId="4" borderId="49" xfId="0" applyFont="1" applyFill="1" applyBorder="1" applyAlignment="1">
      <alignment vertical="top"/>
    </xf>
    <xf numFmtId="0" fontId="5" fillId="4" borderId="19" xfId="0" applyFont="1" applyFill="1" applyBorder="1" applyAlignment="1">
      <alignment horizontal="center" vertical="top"/>
    </xf>
    <xf numFmtId="0" fontId="4" fillId="10" borderId="31" xfId="0" applyFont="1" applyFill="1" applyBorder="1" applyAlignment="1" applyProtection="1">
      <alignment horizontal="center" vertical="center"/>
    </xf>
    <xf numFmtId="0" fontId="4" fillId="10" borderId="5" xfId="3" applyFont="1" applyFill="1" applyBorder="1" applyAlignment="1" applyProtection="1">
      <alignment horizontal="center" vertical="top" wrapText="1"/>
    </xf>
    <xf numFmtId="0" fontId="1" fillId="9" borderId="0" xfId="0" applyFont="1" applyFill="1" applyAlignment="1">
      <alignment horizontal="left" vertical="top" wrapText="1"/>
    </xf>
    <xf numFmtId="0" fontId="1" fillId="15" borderId="0" xfId="0" applyNumberFormat="1" applyFont="1" applyFill="1" applyAlignment="1">
      <alignment horizontal="left" vertical="top" wrapText="1"/>
    </xf>
    <xf numFmtId="0" fontId="5" fillId="0" borderId="1" xfId="0" quotePrefix="1" applyFont="1" applyBorder="1" applyAlignment="1" applyProtection="1">
      <alignment horizontal="center" vertical="center" wrapText="1"/>
    </xf>
    <xf numFmtId="0" fontId="5" fillId="0" borderId="6" xfId="0" quotePrefix="1" applyFont="1" applyBorder="1" applyAlignment="1" applyProtection="1">
      <alignment horizontal="center" vertical="center" wrapText="1"/>
    </xf>
    <xf numFmtId="0" fontId="5" fillId="0" borderId="7" xfId="0" quotePrefix="1" applyFont="1" applyBorder="1" applyAlignment="1" applyProtection="1">
      <alignment horizontal="center" vertical="center" wrapText="1"/>
    </xf>
    <xf numFmtId="0" fontId="5" fillId="0" borderId="56" xfId="0" quotePrefix="1" applyFont="1" applyBorder="1" applyAlignment="1" applyProtection="1">
      <alignment horizontal="center" vertical="center" wrapText="1"/>
    </xf>
    <xf numFmtId="0" fontId="5" fillId="0" borderId="27" xfId="0" quotePrefix="1" applyFont="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center" wrapText="1"/>
      <protection locked="0"/>
    </xf>
    <xf numFmtId="0" fontId="5" fillId="0" borderId="5" xfId="3" applyFont="1" applyFill="1" applyBorder="1" applyAlignment="1" applyProtection="1">
      <alignment horizontal="center" vertical="center" wrapText="1"/>
      <protection locked="0"/>
    </xf>
    <xf numFmtId="0" fontId="5" fillId="0" borderId="18" xfId="3" quotePrefix="1" applyFont="1" applyBorder="1" applyAlignment="1" applyProtection="1">
      <alignment horizontal="center" vertical="top"/>
    </xf>
    <xf numFmtId="0" fontId="0" fillId="0" borderId="0" xfId="0" applyAlignment="1" applyProtection="1">
      <alignment horizontal="left" indent="2"/>
    </xf>
    <xf numFmtId="0" fontId="16" fillId="0" borderId="0" xfId="0" applyFont="1" applyFill="1" applyBorder="1" applyAlignment="1" applyProtection="1">
      <alignment horizontal="left" indent="2"/>
    </xf>
    <xf numFmtId="0" fontId="8" fillId="0" borderId="0" xfId="0" applyFont="1" applyBorder="1" applyAlignment="1" applyProtection="1">
      <alignment horizontal="left" vertical="top" wrapText="1" indent="2"/>
    </xf>
    <xf numFmtId="0" fontId="1" fillId="0" borderId="0" xfId="3" applyFont="1" applyFill="1" applyBorder="1" applyAlignment="1" applyProtection="1">
      <alignment horizontal="left" vertical="top" wrapText="1" indent="2"/>
    </xf>
    <xf numFmtId="0" fontId="1" fillId="0" borderId="0" xfId="3" applyFont="1" applyBorder="1" applyAlignment="1" applyProtection="1">
      <alignment horizontal="left" vertical="top" wrapText="1" indent="2"/>
    </xf>
    <xf numFmtId="0" fontId="1" fillId="0" borderId="0" xfId="3" applyFont="1" applyAlignment="1" applyProtection="1">
      <alignment horizontal="left" indent="2"/>
    </xf>
    <xf numFmtId="0" fontId="1" fillId="0" borderId="26" xfId="3" applyFont="1" applyFill="1" applyBorder="1" applyAlignment="1" applyProtection="1">
      <alignment horizontal="center" vertical="center" wrapText="1"/>
      <protection locked="0"/>
    </xf>
    <xf numFmtId="0" fontId="1" fillId="0" borderId="41" xfId="3" applyFont="1" applyFill="1" applyBorder="1" applyAlignment="1" applyProtection="1">
      <alignment horizontal="center" vertical="center" wrapText="1"/>
      <protection locked="0"/>
    </xf>
    <xf numFmtId="16" fontId="1" fillId="0" borderId="24" xfId="3" quotePrefix="1" applyNumberFormat="1" applyFont="1" applyBorder="1" applyAlignment="1" applyProtection="1">
      <alignment horizontal="center" vertical="top"/>
    </xf>
    <xf numFmtId="0" fontId="4" fillId="10" borderId="33" xfId="3" applyFont="1" applyFill="1" applyBorder="1" applyAlignment="1" applyProtection="1">
      <alignment horizontal="center" vertical="top" wrapText="1"/>
    </xf>
    <xf numFmtId="0" fontId="1" fillId="0" borderId="12" xfId="3" applyFont="1" applyFill="1" applyBorder="1" applyAlignment="1" applyProtection="1">
      <alignment horizontal="center" vertical="center" wrapText="1"/>
      <protection locked="0"/>
    </xf>
    <xf numFmtId="0" fontId="8" fillId="0" borderId="0" xfId="0" applyFont="1" applyBorder="1" applyAlignment="1" applyProtection="1">
      <alignment vertical="top" wrapText="1"/>
    </xf>
    <xf numFmtId="0" fontId="4" fillId="10" borderId="26" xfId="3" applyFont="1" applyFill="1" applyBorder="1" applyAlignment="1" applyProtection="1">
      <alignment horizontal="center" vertical="top" wrapText="1"/>
    </xf>
    <xf numFmtId="0" fontId="4" fillId="0" borderId="0" xfId="0" applyFont="1" applyFill="1" applyBorder="1" applyAlignment="1" applyProtection="1">
      <alignment vertical="top"/>
    </xf>
    <xf numFmtId="0" fontId="5" fillId="0" borderId="72" xfId="0" applyFont="1" applyFill="1" applyBorder="1" applyAlignment="1" applyProtection="1">
      <alignment horizontal="center" vertical="center" wrapText="1"/>
      <protection locked="0"/>
    </xf>
    <xf numFmtId="0" fontId="5" fillId="0" borderId="23" xfId="0" applyFont="1" applyFill="1" applyBorder="1" applyAlignment="1" applyProtection="1">
      <alignment vertical="center"/>
    </xf>
    <xf numFmtId="0" fontId="5" fillId="0" borderId="22" xfId="0" applyFont="1" applyFill="1" applyBorder="1" applyAlignment="1" applyProtection="1">
      <alignment vertical="center"/>
    </xf>
    <xf numFmtId="0" fontId="9" fillId="0" borderId="25"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43" xfId="0" applyFont="1" applyFill="1" applyBorder="1" applyAlignment="1" applyProtection="1">
      <alignment horizontal="center" vertical="center"/>
    </xf>
    <xf numFmtId="0" fontId="6" fillId="0" borderId="0" xfId="0" applyFont="1" applyAlignment="1" applyProtection="1">
      <alignment vertical="center"/>
    </xf>
    <xf numFmtId="0" fontId="5" fillId="0" borderId="33"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4" fillId="10" borderId="31" xfId="3" quotePrefix="1" applyFont="1" applyFill="1" applyBorder="1" applyAlignment="1" applyProtection="1">
      <alignment horizontal="center" vertical="center"/>
    </xf>
    <xf numFmtId="0" fontId="4" fillId="10" borderId="31" xfId="3" applyFont="1" applyFill="1" applyBorder="1" applyAlignment="1" applyProtection="1">
      <alignment horizontal="center" vertical="center"/>
    </xf>
    <xf numFmtId="16" fontId="1" fillId="0" borderId="18" xfId="3" quotePrefix="1" applyNumberFormat="1" applyFont="1" applyBorder="1" applyAlignment="1" applyProtection="1">
      <alignment horizontal="center" vertical="top"/>
    </xf>
    <xf numFmtId="0" fontId="5" fillId="0" borderId="57" xfId="3" quotePrefix="1" applyFont="1" applyBorder="1" applyAlignment="1" applyProtection="1">
      <alignment horizontal="center" vertical="top"/>
    </xf>
    <xf numFmtId="16" fontId="1" fillId="0" borderId="27" xfId="3" quotePrefix="1" applyNumberFormat="1" applyFont="1" applyBorder="1" applyAlignment="1" applyProtection="1">
      <alignment horizontal="center" vertical="top"/>
    </xf>
    <xf numFmtId="0" fontId="1" fillId="0" borderId="34" xfId="3" applyFont="1" applyFill="1" applyBorder="1" applyAlignment="1" applyProtection="1">
      <alignment horizontal="center" vertical="center" wrapText="1"/>
    </xf>
    <xf numFmtId="0" fontId="4" fillId="10" borderId="23" xfId="3" applyFont="1" applyFill="1" applyBorder="1" applyAlignment="1" applyProtection="1">
      <alignment horizontal="center" vertical="center"/>
    </xf>
    <xf numFmtId="16" fontId="1" fillId="0" borderId="73" xfId="3" quotePrefix="1" applyNumberFormat="1" applyFont="1" applyBorder="1" applyAlignment="1" applyProtection="1">
      <alignment horizontal="center" vertical="top"/>
    </xf>
    <xf numFmtId="0" fontId="1" fillId="0" borderId="34" xfId="3" applyFont="1" applyFill="1" applyBorder="1" applyAlignment="1" applyProtection="1">
      <alignment horizontal="center" vertical="center" wrapText="1"/>
      <protection locked="0"/>
    </xf>
    <xf numFmtId="0" fontId="1" fillId="0" borderId="57" xfId="3" quotePrefix="1" applyFont="1" applyBorder="1" applyAlignment="1" applyProtection="1">
      <alignment horizontal="center" vertical="top"/>
    </xf>
    <xf numFmtId="0" fontId="1" fillId="0" borderId="27" xfId="3" quotePrefix="1" applyFont="1" applyBorder="1" applyAlignment="1" applyProtection="1">
      <alignment horizontal="center" vertical="top"/>
    </xf>
    <xf numFmtId="0" fontId="1" fillId="0" borderId="56" xfId="3" quotePrefix="1" applyFont="1" applyBorder="1" applyAlignment="1" applyProtection="1">
      <alignment horizontal="center" vertical="top"/>
    </xf>
    <xf numFmtId="0" fontId="1" fillId="0" borderId="73" xfId="3" quotePrefix="1" applyFont="1" applyBorder="1" applyAlignment="1" applyProtection="1">
      <alignment horizontal="center" vertical="top"/>
    </xf>
    <xf numFmtId="0" fontId="1" fillId="0" borderId="73" xfId="3" applyFont="1" applyBorder="1" applyAlignment="1" applyProtection="1">
      <alignment horizontal="center" vertical="top"/>
    </xf>
    <xf numFmtId="16" fontId="5" fillId="0" borderId="56" xfId="3" quotePrefix="1" applyNumberFormat="1" applyFont="1" applyBorder="1" applyAlignment="1" applyProtection="1">
      <alignment horizontal="center" vertical="top"/>
    </xf>
    <xf numFmtId="16" fontId="5" fillId="0" borderId="27" xfId="3" quotePrefix="1" applyNumberFormat="1" applyFont="1" applyBorder="1" applyAlignment="1" applyProtection="1">
      <alignment horizontal="center" vertical="top"/>
    </xf>
    <xf numFmtId="0" fontId="5" fillId="0" borderId="56" xfId="3" quotePrefix="1" applyFont="1" applyBorder="1" applyAlignment="1" applyProtection="1">
      <alignment horizontal="center" vertical="top"/>
    </xf>
    <xf numFmtId="0" fontId="5" fillId="0" borderId="27" xfId="3" quotePrefix="1" applyFont="1" applyBorder="1" applyAlignment="1" applyProtection="1">
      <alignment horizontal="center" vertical="top"/>
    </xf>
    <xf numFmtId="0" fontId="5" fillId="0" borderId="73" xfId="3" quotePrefix="1" applyFont="1" applyBorder="1" applyAlignment="1" applyProtection="1">
      <alignment horizontal="center" vertical="top"/>
    </xf>
    <xf numFmtId="0" fontId="5" fillId="0" borderId="34" xfId="3" applyFont="1" applyFill="1" applyBorder="1" applyAlignment="1" applyProtection="1">
      <alignment horizontal="center" vertical="center" wrapText="1"/>
      <protection locked="0"/>
    </xf>
    <xf numFmtId="0" fontId="5" fillId="10" borderId="14" xfId="3" applyFont="1" applyFill="1" applyBorder="1" applyAlignment="1" applyProtection="1">
      <alignment vertical="top" wrapText="1"/>
    </xf>
    <xf numFmtId="0" fontId="5" fillId="10" borderId="25" xfId="3" applyFont="1" applyFill="1" applyBorder="1" applyAlignment="1" applyProtection="1">
      <alignment vertical="top" wrapText="1"/>
    </xf>
    <xf numFmtId="0" fontId="39" fillId="8" borderId="0" xfId="0" applyFont="1" applyFill="1" applyBorder="1" applyAlignment="1" applyProtection="1">
      <alignment horizontal="center" vertical="center"/>
      <protection locked="0"/>
    </xf>
    <xf numFmtId="0" fontId="30" fillId="4" borderId="22" xfId="0" applyFont="1" applyFill="1" applyBorder="1" applyAlignment="1">
      <alignment horizontal="right" vertical="top" indent="1"/>
    </xf>
    <xf numFmtId="0" fontId="30" fillId="4" borderId="18" xfId="0" applyFont="1" applyFill="1" applyBorder="1" applyAlignment="1">
      <alignment horizontal="right" vertical="top" wrapText="1" indent="1"/>
    </xf>
    <xf numFmtId="0" fontId="30" fillId="4" borderId="22" xfId="0" applyFont="1" applyFill="1" applyBorder="1" applyAlignment="1">
      <alignment horizontal="right" vertical="top" wrapText="1" indent="1"/>
    </xf>
    <xf numFmtId="0" fontId="30" fillId="4" borderId="20" xfId="0" applyFont="1" applyFill="1" applyBorder="1" applyAlignment="1">
      <alignment horizontal="right" vertical="top" wrapText="1" indent="1"/>
    </xf>
    <xf numFmtId="0" fontId="26" fillId="3" borderId="0" xfId="0" applyNumberFormat="1" applyFont="1" applyFill="1" applyAlignment="1">
      <alignment horizontal="left" vertical="top" wrapText="1"/>
    </xf>
    <xf numFmtId="0" fontId="26" fillId="0" borderId="0" xfId="0" applyFont="1" applyFill="1" applyAlignment="1">
      <alignment horizontal="left" vertical="top" wrapText="1"/>
    </xf>
    <xf numFmtId="0" fontId="26" fillId="0" borderId="0" xfId="0" applyNumberFormat="1" applyFont="1" applyBorder="1" applyAlignment="1">
      <alignment horizontal="left" vertical="top" wrapText="1"/>
    </xf>
    <xf numFmtId="0" fontId="41" fillId="0" borderId="0" xfId="0" applyNumberFormat="1" applyFont="1"/>
    <xf numFmtId="0" fontId="26" fillId="0" borderId="0" xfId="0" applyNumberFormat="1" applyFont="1" applyAlignment="1" applyProtection="1">
      <alignment wrapText="1"/>
      <protection locked="0"/>
    </xf>
    <xf numFmtId="0" fontId="26" fillId="0" borderId="0" xfId="0" applyNumberFormat="1" applyFont="1"/>
    <xf numFmtId="0" fontId="26" fillId="0" borderId="0" xfId="0" applyFont="1"/>
    <xf numFmtId="0" fontId="26" fillId="0" borderId="0" xfId="0" applyNumberFormat="1" applyFont="1" applyFill="1" applyAlignment="1">
      <alignment horizontal="left" vertical="top" wrapText="1"/>
    </xf>
    <xf numFmtId="0" fontId="41" fillId="0" borderId="0"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1" fillId="3" borderId="0" xfId="0" applyFont="1" applyFill="1" applyBorder="1"/>
    <xf numFmtId="0" fontId="1" fillId="3" borderId="0" xfId="0" applyFont="1" applyFill="1"/>
    <xf numFmtId="0" fontId="5" fillId="13" borderId="78"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42" fillId="0" borderId="0" xfId="0" applyFont="1" applyFill="1" applyProtection="1"/>
    <xf numFmtId="0" fontId="0" fillId="0" borderId="0" xfId="0" applyFill="1" applyBorder="1" applyProtection="1"/>
    <xf numFmtId="0" fontId="0" fillId="0" borderId="0" xfId="0" applyFill="1" applyBorder="1" applyAlignment="1" applyProtection="1">
      <alignment vertical="center"/>
    </xf>
    <xf numFmtId="0" fontId="40" fillId="4" borderId="18" xfId="0" applyFont="1" applyFill="1" applyBorder="1" applyAlignment="1">
      <alignment horizontal="right" vertical="top" wrapText="1" indent="1"/>
    </xf>
    <xf numFmtId="0" fontId="40" fillId="4" borderId="24" xfId="0" applyFont="1" applyFill="1" applyBorder="1" applyAlignment="1">
      <alignment horizontal="right" vertical="top" wrapText="1" indent="1"/>
    </xf>
    <xf numFmtId="0" fontId="30" fillId="9" borderId="23" xfId="0" applyFont="1" applyFill="1" applyBorder="1" applyAlignment="1">
      <alignment horizontal="center" vertical="center"/>
    </xf>
    <xf numFmtId="0" fontId="30" fillId="9" borderId="25" xfId="0" applyFont="1" applyFill="1" applyBorder="1" applyAlignment="1">
      <alignment horizontal="center" vertical="center"/>
    </xf>
    <xf numFmtId="0" fontId="30" fillId="9" borderId="15" xfId="0" applyFont="1" applyFill="1" applyBorder="1" applyAlignment="1">
      <alignment horizontal="center" vertical="center"/>
    </xf>
    <xf numFmtId="0" fontId="30" fillId="9" borderId="30" xfId="0" applyFont="1" applyFill="1" applyBorder="1" applyAlignment="1">
      <alignment horizontal="center" vertical="center"/>
    </xf>
    <xf numFmtId="0" fontId="32" fillId="13" borderId="18" xfId="0" applyFont="1" applyFill="1" applyBorder="1" applyAlignment="1">
      <alignment horizontal="center" vertical="center" wrapText="1"/>
    </xf>
    <xf numFmtId="0" fontId="32" fillId="13" borderId="53" xfId="0" applyFont="1" applyFill="1" applyBorder="1" applyAlignment="1">
      <alignment horizontal="center" vertical="center" wrapText="1"/>
    </xf>
    <xf numFmtId="0" fontId="32" fillId="13" borderId="18" xfId="0" applyFont="1" applyFill="1" applyBorder="1" applyAlignment="1">
      <alignment horizontal="center" vertical="center"/>
    </xf>
    <xf numFmtId="0" fontId="32" fillId="13" borderId="53" xfId="0" applyFont="1" applyFill="1" applyBorder="1" applyAlignment="1">
      <alignment horizontal="center" vertical="center"/>
    </xf>
    <xf numFmtId="0" fontId="29" fillId="4" borderId="0" xfId="0" applyFont="1" applyFill="1" applyBorder="1" applyAlignment="1" applyProtection="1">
      <alignment horizontal="left" vertical="center" wrapText="1"/>
    </xf>
    <xf numFmtId="0" fontId="1" fillId="4" borderId="22" xfId="0" applyFont="1" applyFill="1" applyBorder="1" applyAlignment="1">
      <alignment horizontal="left" vertical="top" wrapText="1"/>
    </xf>
    <xf numFmtId="0" fontId="1" fillId="4" borderId="28" xfId="0" applyFont="1" applyFill="1" applyBorder="1" applyAlignment="1">
      <alignment horizontal="left" vertical="top" wrapText="1"/>
    </xf>
    <xf numFmtId="0" fontId="1" fillId="4" borderId="22" xfId="0" applyFont="1" applyFill="1" applyBorder="1" applyAlignment="1" applyProtection="1">
      <alignment horizontal="left" vertical="top" wrapText="1"/>
    </xf>
    <xf numFmtId="0" fontId="1" fillId="4" borderId="28" xfId="0" applyFont="1" applyFill="1" applyBorder="1" applyAlignment="1" applyProtection="1">
      <alignment horizontal="left" vertical="top"/>
    </xf>
    <xf numFmtId="0" fontId="31" fillId="4" borderId="15"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 fillId="0" borderId="24"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9" fillId="0" borderId="20"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3" fillId="0" borderId="19"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48"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xf>
    <xf numFmtId="0" fontId="4" fillId="10" borderId="31" xfId="0" applyFont="1" applyFill="1" applyBorder="1" applyAlignment="1" applyProtection="1">
      <alignment horizontal="center" vertical="center"/>
    </xf>
    <xf numFmtId="0" fontId="4" fillId="10" borderId="37" xfId="0" applyFont="1" applyFill="1" applyBorder="1" applyAlignment="1" applyProtection="1">
      <alignment horizontal="center" vertical="center"/>
    </xf>
    <xf numFmtId="0" fontId="4" fillId="10" borderId="38" xfId="0" applyFont="1" applyFill="1" applyBorder="1" applyAlignment="1" applyProtection="1">
      <alignment horizontal="center" vertical="center"/>
    </xf>
    <xf numFmtId="0" fontId="1" fillId="0" borderId="22" xfId="0" applyFont="1" applyFill="1" applyBorder="1" applyAlignment="1" applyProtection="1">
      <alignment horizontal="left"/>
      <protection locked="0"/>
    </xf>
    <xf numFmtId="0" fontId="1" fillId="0" borderId="17" xfId="0" applyFont="1" applyFill="1" applyBorder="1" applyAlignment="1" applyProtection="1">
      <alignment horizontal="left"/>
      <protection locked="0"/>
    </xf>
    <xf numFmtId="0" fontId="1" fillId="0" borderId="39" xfId="0" applyFont="1" applyFill="1" applyBorder="1" applyAlignment="1" applyProtection="1">
      <alignment horizontal="left"/>
      <protection locked="0"/>
    </xf>
    <xf numFmtId="0" fontId="1" fillId="0" borderId="40" xfId="0" applyFont="1" applyFill="1" applyBorder="1" applyAlignment="1" applyProtection="1">
      <alignment horizontal="left"/>
      <protection locked="0"/>
    </xf>
    <xf numFmtId="0" fontId="4" fillId="0" borderId="1" xfId="0" applyFont="1" applyBorder="1" applyAlignment="1" applyProtection="1">
      <alignment horizontal="center"/>
    </xf>
    <xf numFmtId="0" fontId="4" fillId="0" borderId="35" xfId="0" applyFont="1" applyBorder="1" applyAlignment="1" applyProtection="1">
      <alignment horizontal="center"/>
    </xf>
    <xf numFmtId="0" fontId="4" fillId="0" borderId="44" xfId="0" applyFont="1" applyBorder="1" applyAlignment="1" applyProtection="1">
      <alignment horizontal="center"/>
    </xf>
    <xf numFmtId="0" fontId="4" fillId="0" borderId="14" xfId="0" applyFont="1" applyBorder="1" applyAlignment="1" applyProtection="1">
      <alignment horizontal="center"/>
    </xf>
    <xf numFmtId="0" fontId="4" fillId="0" borderId="25" xfId="0" applyFont="1" applyBorder="1" applyAlignment="1" applyProtection="1">
      <alignment horizontal="center"/>
    </xf>
    <xf numFmtId="0" fontId="9" fillId="0" borderId="8"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1" fillId="0" borderId="8" xfId="0" applyFont="1" applyFill="1" applyBorder="1" applyAlignment="1" applyProtection="1">
      <alignment horizontal="center"/>
      <protection locked="0"/>
    </xf>
    <xf numFmtId="0" fontId="1" fillId="0" borderId="17" xfId="0" applyFont="1" applyFill="1" applyBorder="1" applyAlignment="1" applyProtection="1">
      <alignment horizontal="center"/>
      <protection locked="0"/>
    </xf>
    <xf numFmtId="0" fontId="1" fillId="0" borderId="42" xfId="0" applyFont="1" applyFill="1" applyBorder="1" applyAlignment="1" applyProtection="1">
      <alignment horizontal="center"/>
      <protection locked="0"/>
    </xf>
    <xf numFmtId="0" fontId="1" fillId="0" borderId="40" xfId="0" applyFont="1" applyFill="1" applyBorder="1" applyAlignment="1" applyProtection="1">
      <alignment horizontal="center"/>
      <protection locked="0"/>
    </xf>
    <xf numFmtId="0" fontId="21" fillId="0" borderId="44" xfId="0" applyFont="1" applyBorder="1" applyAlignment="1" applyProtection="1">
      <alignment horizontal="center"/>
    </xf>
    <xf numFmtId="0" fontId="21" fillId="0" borderId="36" xfId="0" applyFont="1" applyBorder="1" applyAlignment="1" applyProtection="1">
      <alignment horizontal="center"/>
    </xf>
    <xf numFmtId="0" fontId="12" fillId="0" borderId="8"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20" fillId="0" borderId="31" xfId="0" applyFont="1" applyBorder="1" applyAlignment="1" applyProtection="1">
      <alignment horizontal="center" vertical="center"/>
    </xf>
    <xf numFmtId="0" fontId="20" fillId="0" borderId="37" xfId="0" applyFont="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0" fontId="1" fillId="5" borderId="6"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6" fillId="5" borderId="8" xfId="0" applyFont="1" applyFill="1" applyBorder="1" applyAlignment="1" applyProtection="1">
      <alignment horizontal="left"/>
      <protection locked="0"/>
    </xf>
    <xf numFmtId="0" fontId="6" fillId="5" borderId="17" xfId="0" applyFont="1" applyFill="1" applyBorder="1" applyAlignment="1" applyProtection="1">
      <alignment horizontal="left"/>
      <protection locked="0"/>
    </xf>
    <xf numFmtId="0" fontId="6" fillId="5" borderId="28" xfId="0" applyFont="1" applyFill="1" applyBorder="1" applyAlignment="1" applyProtection="1">
      <alignment horizontal="left"/>
      <protection locked="0"/>
    </xf>
    <xf numFmtId="0" fontId="1" fillId="0" borderId="2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1" fillId="0" borderId="35" xfId="0" applyFont="1" applyFill="1" applyBorder="1" applyAlignment="1" applyProtection="1">
      <alignment horizontal="center"/>
      <protection locked="0"/>
    </xf>
    <xf numFmtId="0" fontId="1" fillId="0" borderId="44" xfId="0" applyFont="1" applyFill="1" applyBorder="1" applyAlignment="1" applyProtection="1">
      <alignment horizontal="center"/>
      <protection locked="0"/>
    </xf>
    <xf numFmtId="0" fontId="9" fillId="0" borderId="44" xfId="0" applyFont="1" applyBorder="1" applyAlignment="1" applyProtection="1">
      <alignment horizontal="center" vertical="center"/>
    </xf>
    <xf numFmtId="0" fontId="9" fillId="0" borderId="25" xfId="0" applyFont="1" applyBorder="1" applyAlignment="1" applyProtection="1">
      <alignment horizontal="center" vertical="center"/>
    </xf>
    <xf numFmtId="0" fontId="1" fillId="0" borderId="10" xfId="0" applyFont="1" applyFill="1" applyBorder="1" applyAlignment="1" applyProtection="1">
      <alignment horizontal="left" vertical="center"/>
    </xf>
    <xf numFmtId="0" fontId="1" fillId="0" borderId="47" xfId="0" applyFont="1" applyFill="1" applyBorder="1" applyAlignment="1" applyProtection="1">
      <alignment horizontal="left" vertical="center"/>
    </xf>
    <xf numFmtId="0" fontId="3" fillId="13" borderId="6" xfId="0" applyFont="1" applyFill="1" applyBorder="1" applyAlignment="1" applyProtection="1">
      <alignment horizontal="center" vertical="center"/>
      <protection locked="0"/>
    </xf>
    <xf numFmtId="0" fontId="3" fillId="13" borderId="5" xfId="0" applyFont="1" applyFill="1" applyBorder="1" applyAlignment="1" applyProtection="1">
      <alignment horizontal="center" vertical="center"/>
      <protection locked="0"/>
    </xf>
    <xf numFmtId="0" fontId="4" fillId="10" borderId="6"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17" fillId="13" borderId="7" xfId="0" applyFont="1" applyFill="1" applyBorder="1" applyAlignment="1" applyProtection="1">
      <alignment horizontal="center" vertical="center"/>
      <protection locked="0"/>
    </xf>
    <xf numFmtId="0" fontId="17" fillId="13" borderId="34" xfId="0" applyFont="1" applyFill="1" applyBorder="1" applyAlignment="1" applyProtection="1">
      <alignment horizontal="center" vertical="center"/>
      <protection locked="0"/>
    </xf>
    <xf numFmtId="0" fontId="4" fillId="10" borderId="3" xfId="0" applyFont="1" applyFill="1" applyBorder="1" applyAlignment="1">
      <alignment horizontal="center" vertical="center" wrapText="1"/>
    </xf>
    <xf numFmtId="0" fontId="3" fillId="13" borderId="3" xfId="0" applyFont="1" applyFill="1" applyBorder="1" applyAlignment="1" applyProtection="1">
      <alignment horizontal="center" vertical="center"/>
      <protection locked="0"/>
    </xf>
    <xf numFmtId="0" fontId="17" fillId="13" borderId="4" xfId="0" applyFont="1" applyFill="1" applyBorder="1" applyAlignment="1" applyProtection="1">
      <alignment horizontal="center" vertical="center"/>
      <protection locked="0"/>
    </xf>
    <xf numFmtId="0" fontId="21" fillId="0" borderId="35" xfId="0" applyFont="1" applyBorder="1" applyAlignment="1" applyProtection="1">
      <alignment horizontal="center"/>
    </xf>
    <xf numFmtId="0" fontId="21" fillId="0" borderId="2" xfId="0" applyFont="1" applyBorder="1" applyAlignment="1" applyProtection="1">
      <alignment horizontal="center"/>
    </xf>
    <xf numFmtId="0" fontId="4" fillId="10" borderId="1" xfId="0" applyFont="1" applyFill="1" applyBorder="1" applyAlignment="1">
      <alignment horizontal="center" vertical="center" wrapText="1"/>
    </xf>
    <xf numFmtId="0" fontId="4" fillId="10" borderId="35"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2" fillId="0" borderId="42" xfId="0" applyFont="1" applyFill="1" applyBorder="1" applyAlignment="1" applyProtection="1">
      <alignment horizontal="center"/>
      <protection locked="0"/>
    </xf>
    <xf numFmtId="0" fontId="12" fillId="0" borderId="41" xfId="0" applyFont="1" applyFill="1" applyBorder="1" applyAlignment="1" applyProtection="1">
      <alignment horizontal="center"/>
      <protection locked="0"/>
    </xf>
    <xf numFmtId="0" fontId="12" fillId="0" borderId="34" xfId="0" applyFont="1" applyFill="1" applyBorder="1" applyAlignment="1" applyProtection="1">
      <alignment horizontal="center"/>
      <protection locked="0"/>
    </xf>
    <xf numFmtId="0" fontId="12" fillId="0" borderId="4" xfId="0" applyFont="1" applyFill="1" applyBorder="1" applyAlignment="1" applyProtection="1">
      <alignment horizontal="center"/>
      <protection locked="0"/>
    </xf>
    <xf numFmtId="0" fontId="35" fillId="12" borderId="0" xfId="0" applyFont="1" applyFill="1" applyBorder="1" applyAlignment="1" applyProtection="1">
      <alignment horizontal="center" vertical="center"/>
    </xf>
    <xf numFmtId="0" fontId="37" fillId="12" borderId="31" xfId="0" applyFont="1" applyFill="1" applyBorder="1" applyAlignment="1" applyProtection="1">
      <alignment horizontal="center" vertical="center"/>
    </xf>
    <xf numFmtId="0" fontId="37" fillId="12" borderId="37" xfId="0" applyFont="1" applyFill="1" applyBorder="1" applyAlignment="1" applyProtection="1">
      <alignment horizontal="center" vertical="center"/>
    </xf>
    <xf numFmtId="0" fontId="37" fillId="12" borderId="38" xfId="0" applyFont="1" applyFill="1" applyBorder="1" applyAlignment="1" applyProtection="1">
      <alignment horizontal="center" vertical="center"/>
    </xf>
    <xf numFmtId="0" fontId="4" fillId="4" borderId="24"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xf>
    <xf numFmtId="0" fontId="5" fillId="0" borderId="23" xfId="0" applyFont="1" applyFill="1" applyBorder="1" applyAlignment="1" applyProtection="1">
      <alignment horizontal="left" vertical="center" wrapText="1" indent="1"/>
    </xf>
    <xf numFmtId="0" fontId="5" fillId="0" borderId="14" xfId="0" applyFont="1" applyFill="1" applyBorder="1" applyAlignment="1" applyProtection="1">
      <alignment horizontal="left" vertical="center" wrapText="1" indent="1"/>
    </xf>
    <xf numFmtId="0" fontId="5" fillId="0" borderId="36" xfId="0" applyFont="1" applyFill="1" applyBorder="1" applyAlignment="1" applyProtection="1">
      <alignment horizontal="left" vertical="center" wrapText="1" indent="1"/>
    </xf>
    <xf numFmtId="0" fontId="5" fillId="8" borderId="44" xfId="0" applyFont="1" applyFill="1" applyBorder="1" applyAlignment="1" applyProtection="1">
      <alignment horizontal="left" vertical="center" indent="1"/>
      <protection locked="0"/>
    </xf>
    <xf numFmtId="0" fontId="5" fillId="8" borderId="25" xfId="0" applyFont="1" applyFill="1" applyBorder="1" applyAlignment="1" applyProtection="1">
      <alignment horizontal="left" vertical="center" indent="1"/>
      <protection locked="0"/>
    </xf>
    <xf numFmtId="0" fontId="5" fillId="0" borderId="7" xfId="0" applyFont="1" applyFill="1" applyBorder="1" applyAlignment="1" applyProtection="1">
      <alignment horizontal="left" vertical="center" indent="1"/>
    </xf>
    <xf numFmtId="0" fontId="5" fillId="0" borderId="34" xfId="0" applyFont="1" applyFill="1" applyBorder="1" applyAlignment="1" applyProtection="1">
      <alignment horizontal="left" vertical="center" indent="1"/>
    </xf>
    <xf numFmtId="0" fontId="0" fillId="5" borderId="42" xfId="0" applyFill="1" applyBorder="1" applyAlignment="1" applyProtection="1">
      <alignment horizontal="left" indent="1"/>
      <protection locked="0"/>
    </xf>
    <xf numFmtId="0" fontId="0" fillId="5" borderId="40"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12" fillId="0" borderId="5"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4" fillId="10" borderId="31" xfId="0" applyFont="1" applyFill="1" applyBorder="1" applyAlignment="1" applyProtection="1">
      <alignment horizontal="center" vertical="center" wrapText="1"/>
    </xf>
    <xf numFmtId="0" fontId="4" fillId="10" borderId="37" xfId="0" applyFont="1" applyFill="1" applyBorder="1" applyAlignment="1" applyProtection="1">
      <alignment horizontal="center" vertical="center" wrapText="1"/>
    </xf>
    <xf numFmtId="0" fontId="4" fillId="10" borderId="38" xfId="0" applyFont="1" applyFill="1" applyBorder="1" applyAlignment="1" applyProtection="1">
      <alignment horizontal="center" vertical="center" wrapText="1"/>
    </xf>
    <xf numFmtId="0" fontId="10" fillId="10" borderId="31" xfId="0" applyFont="1" applyFill="1" applyBorder="1" applyAlignment="1" applyProtection="1">
      <alignment horizontal="center" vertical="center"/>
    </xf>
    <xf numFmtId="0" fontId="10" fillId="10" borderId="37" xfId="0" applyFont="1" applyFill="1" applyBorder="1" applyAlignment="1" applyProtection="1">
      <alignment horizontal="center" vertical="center"/>
    </xf>
    <xf numFmtId="0" fontId="10" fillId="10" borderId="38" xfId="0" applyFont="1" applyFill="1" applyBorder="1" applyAlignment="1" applyProtection="1">
      <alignment horizontal="center" vertical="center"/>
    </xf>
    <xf numFmtId="0" fontId="5" fillId="10" borderId="24" xfId="0" applyFont="1" applyFill="1" applyBorder="1" applyAlignment="1" applyProtection="1">
      <alignment horizontal="left" vertical="center" indent="2"/>
    </xf>
    <xf numFmtId="0" fontId="5" fillId="10" borderId="13" xfId="0" applyFont="1" applyFill="1" applyBorder="1" applyAlignment="1" applyProtection="1">
      <alignment horizontal="left" vertical="center" indent="2"/>
    </xf>
    <xf numFmtId="0" fontId="5" fillId="10" borderId="68" xfId="0" applyFont="1" applyFill="1" applyBorder="1" applyAlignment="1" applyProtection="1">
      <alignment horizontal="left" vertical="center" indent="2"/>
    </xf>
    <xf numFmtId="0" fontId="1" fillId="0" borderId="45" xfId="0" applyFont="1" applyFill="1" applyBorder="1" applyAlignment="1" applyProtection="1">
      <alignment horizontal="center" vertical="center"/>
      <protection locked="0"/>
    </xf>
    <xf numFmtId="0" fontId="1" fillId="0" borderId="68" xfId="0" applyFont="1" applyFill="1" applyBorder="1" applyAlignment="1" applyProtection="1">
      <alignment horizontal="center" vertical="center"/>
      <protection locked="0"/>
    </xf>
    <xf numFmtId="165" fontId="1" fillId="0" borderId="45" xfId="0" applyNumberFormat="1" applyFont="1" applyFill="1" applyBorder="1" applyAlignment="1" applyProtection="1">
      <alignment horizontal="center" vertical="center"/>
      <protection locked="0"/>
    </xf>
    <xf numFmtId="165" fontId="1" fillId="0" borderId="68" xfId="0" applyNumberFormat="1" applyFont="1" applyFill="1" applyBorder="1" applyAlignment="1" applyProtection="1">
      <alignment horizontal="center" vertical="center"/>
      <protection locked="0"/>
    </xf>
    <xf numFmtId="0" fontId="5" fillId="10" borderId="22" xfId="0" applyFont="1" applyFill="1" applyBorder="1" applyAlignment="1" applyProtection="1">
      <alignment horizontal="left" vertical="center" indent="2"/>
    </xf>
    <xf numFmtId="0" fontId="5" fillId="10" borderId="17" xfId="0" applyFont="1" applyFill="1" applyBorder="1" applyAlignment="1" applyProtection="1">
      <alignment horizontal="left" vertical="center" indent="2"/>
    </xf>
    <xf numFmtId="0" fontId="5" fillId="10" borderId="26" xfId="0" applyFont="1" applyFill="1" applyBorder="1" applyAlignment="1" applyProtection="1">
      <alignment horizontal="left" vertical="center" indent="2"/>
    </xf>
    <xf numFmtId="0" fontId="1" fillId="0" borderId="48"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165" fontId="1" fillId="0" borderId="8" xfId="0" applyNumberFormat="1" applyFont="1" applyFill="1" applyBorder="1" applyAlignment="1" applyProtection="1">
      <alignment horizontal="center" vertical="center"/>
      <protection locked="0"/>
    </xf>
    <xf numFmtId="165" fontId="1" fillId="0" borderId="26"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left" vertical="center"/>
      <protection locked="0"/>
    </xf>
    <xf numFmtId="49" fontId="1" fillId="0" borderId="28" xfId="0" applyNumberFormat="1" applyFont="1" applyFill="1" applyBorder="1" applyAlignment="1" applyProtection="1">
      <alignment horizontal="left" vertical="center"/>
      <protection locked="0"/>
    </xf>
    <xf numFmtId="0" fontId="1" fillId="0" borderId="8"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165" fontId="1" fillId="0" borderId="17" xfId="0" applyNumberFormat="1" applyFont="1" applyFill="1" applyBorder="1" applyAlignment="1" applyProtection="1">
      <alignment horizontal="center" vertical="center"/>
      <protection locked="0"/>
    </xf>
    <xf numFmtId="0" fontId="16" fillId="10" borderId="31" xfId="0" applyFont="1" applyFill="1" applyBorder="1" applyAlignment="1" applyProtection="1">
      <alignment horizontal="center" vertical="center" wrapText="1"/>
    </xf>
    <xf numFmtId="0" fontId="16" fillId="10" borderId="37" xfId="0" applyFont="1" applyFill="1" applyBorder="1" applyAlignment="1" applyProtection="1">
      <alignment horizontal="center" vertical="center" wrapText="1"/>
    </xf>
    <xf numFmtId="0" fontId="16" fillId="10" borderId="54"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26" xfId="0" applyFont="1" applyBorder="1" applyAlignment="1" applyProtection="1">
      <alignment horizontal="center" vertical="center"/>
    </xf>
    <xf numFmtId="0" fontId="20" fillId="4" borderId="37" xfId="0" applyFont="1" applyFill="1" applyBorder="1" applyAlignment="1" applyProtection="1">
      <alignment horizontal="center" vertical="center"/>
    </xf>
    <xf numFmtId="0" fontId="20" fillId="4" borderId="38" xfId="0" applyFont="1" applyFill="1" applyBorder="1" applyAlignment="1" applyProtection="1">
      <alignment horizontal="center" vertical="center"/>
    </xf>
    <xf numFmtId="0" fontId="20" fillId="4" borderId="31"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10" borderId="19" xfId="0" applyFont="1" applyFill="1" applyBorder="1" applyAlignment="1" applyProtection="1">
      <alignment horizontal="left" vertical="center" indent="1"/>
    </xf>
    <xf numFmtId="0" fontId="5" fillId="10" borderId="9" xfId="0" applyFont="1" applyFill="1" applyBorder="1" applyAlignment="1" applyProtection="1">
      <alignment horizontal="left" vertical="center" indent="1"/>
    </xf>
    <xf numFmtId="0" fontId="5" fillId="10" borderId="21" xfId="0" applyFont="1" applyFill="1" applyBorder="1" applyAlignment="1" applyProtection="1">
      <alignment horizontal="left" vertical="center" indent="1"/>
    </xf>
    <xf numFmtId="0" fontId="5" fillId="10" borderId="22" xfId="0" applyFont="1" applyFill="1" applyBorder="1" applyAlignment="1" applyProtection="1">
      <alignment horizontal="left" vertical="center" indent="1"/>
    </xf>
    <xf numFmtId="0" fontId="5" fillId="10" borderId="17" xfId="0" applyFont="1" applyFill="1" applyBorder="1" applyAlignment="1" applyProtection="1">
      <alignment horizontal="left" vertical="center" indent="1"/>
    </xf>
    <xf numFmtId="0" fontId="5" fillId="10" borderId="26" xfId="0" applyFont="1" applyFill="1" applyBorder="1" applyAlignment="1" applyProtection="1">
      <alignment horizontal="left" vertical="center" indent="1"/>
    </xf>
    <xf numFmtId="0" fontId="1" fillId="0" borderId="9"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49" fontId="1" fillId="0" borderId="45" xfId="0" applyNumberFormat="1" applyFont="1" applyFill="1" applyBorder="1" applyAlignment="1" applyProtection="1">
      <alignment horizontal="left" vertical="center"/>
      <protection locked="0"/>
    </xf>
    <xf numFmtId="49" fontId="1" fillId="0" borderId="46" xfId="0" applyNumberFormat="1" applyFont="1" applyFill="1" applyBorder="1" applyAlignment="1" applyProtection="1">
      <alignment horizontal="left" vertical="center"/>
      <protection locked="0"/>
    </xf>
    <xf numFmtId="0" fontId="35" fillId="14" borderId="31" xfId="0" applyFont="1" applyFill="1" applyBorder="1" applyAlignment="1" applyProtection="1">
      <alignment horizontal="center" vertical="center"/>
    </xf>
    <xf numFmtId="0" fontId="35" fillId="14" borderId="37" xfId="0" applyFont="1" applyFill="1" applyBorder="1" applyAlignment="1" applyProtection="1">
      <alignment horizontal="center" vertical="center"/>
    </xf>
    <xf numFmtId="0" fontId="35" fillId="14" borderId="38" xfId="0" applyFont="1" applyFill="1" applyBorder="1" applyAlignment="1" applyProtection="1">
      <alignment horizontal="center" vertical="center"/>
    </xf>
    <xf numFmtId="0" fontId="6" fillId="4" borderId="19" xfId="0" applyFont="1" applyFill="1" applyBorder="1" applyAlignment="1" applyProtection="1">
      <alignment horizontal="center"/>
    </xf>
    <xf numFmtId="0" fontId="6" fillId="4" borderId="9" xfId="0" applyFont="1" applyFill="1" applyBorder="1" applyAlignment="1" applyProtection="1">
      <alignment horizontal="center"/>
    </xf>
    <xf numFmtId="0" fontId="6" fillId="4" borderId="49" xfId="0" applyFont="1" applyFill="1" applyBorder="1" applyAlignment="1" applyProtection="1">
      <alignment horizontal="center"/>
    </xf>
    <xf numFmtId="0" fontId="4" fillId="4" borderId="15" xfId="0" applyFont="1" applyFill="1" applyBorder="1" applyAlignment="1" applyProtection="1">
      <alignment horizontal="center"/>
    </xf>
    <xf numFmtId="0" fontId="4" fillId="4" borderId="29" xfId="0" applyFont="1" applyFill="1" applyBorder="1" applyAlignment="1" applyProtection="1">
      <alignment horizontal="center"/>
    </xf>
    <xf numFmtId="0" fontId="4" fillId="4" borderId="30" xfId="0" applyFont="1" applyFill="1" applyBorder="1" applyAlignment="1" applyProtection="1">
      <alignment horizontal="center"/>
    </xf>
    <xf numFmtId="0" fontId="21" fillId="2" borderId="24"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46" xfId="0" applyFont="1" applyFill="1" applyBorder="1" applyAlignment="1" applyProtection="1">
      <alignment horizontal="left" vertical="center" wrapText="1"/>
    </xf>
    <xf numFmtId="167" fontId="1" fillId="0" borderId="8" xfId="0" applyNumberFormat="1" applyFont="1" applyFill="1" applyBorder="1" applyAlignment="1" applyProtection="1">
      <alignment horizontal="right" vertical="center"/>
      <protection locked="0"/>
    </xf>
    <xf numFmtId="167" fontId="1" fillId="0" borderId="17" xfId="0" applyNumberFormat="1" applyFont="1" applyFill="1" applyBorder="1" applyAlignment="1" applyProtection="1">
      <alignment horizontal="right" vertical="center"/>
      <protection locked="0"/>
    </xf>
    <xf numFmtId="0" fontId="8" fillId="0" borderId="5"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49" fontId="5" fillId="0" borderId="6" xfId="0" quotePrefix="1" applyNumberFormat="1" applyFont="1" applyBorder="1" applyAlignment="1" applyProtection="1">
      <alignment horizontal="center" vertical="center"/>
    </xf>
    <xf numFmtId="49" fontId="5" fillId="0" borderId="7" xfId="0" quotePrefix="1" applyNumberFormat="1" applyFont="1" applyBorder="1" applyAlignment="1" applyProtection="1">
      <alignment horizontal="center" vertical="center"/>
    </xf>
    <xf numFmtId="0" fontId="1" fillId="0" borderId="5" xfId="0" applyFont="1" applyBorder="1" applyAlignment="1" applyProtection="1">
      <alignment horizontal="left" vertical="center" wrapText="1" indent="1"/>
    </xf>
    <xf numFmtId="0" fontId="1" fillId="0" borderId="34" xfId="0" applyFont="1" applyBorder="1" applyAlignment="1" applyProtection="1">
      <alignment horizontal="left" vertical="center" wrapText="1" indent="1"/>
    </xf>
    <xf numFmtId="0" fontId="4" fillId="10" borderId="37" xfId="0" applyFont="1" applyFill="1" applyBorder="1" applyAlignment="1" applyProtection="1">
      <alignment horizontal="left" vertical="center" wrapText="1"/>
    </xf>
    <xf numFmtId="0" fontId="4" fillId="10" borderId="38" xfId="0" applyFont="1" applyFill="1" applyBorder="1" applyAlignment="1" applyProtection="1">
      <alignment horizontal="left" vertical="center" wrapText="1"/>
    </xf>
    <xf numFmtId="0" fontId="8" fillId="0" borderId="71" xfId="0" applyFont="1" applyBorder="1" applyAlignment="1" applyProtection="1">
      <alignment horizontal="left" vertical="center" wrapText="1"/>
    </xf>
    <xf numFmtId="0" fontId="8" fillId="0" borderId="70" xfId="0" applyFont="1" applyBorder="1" applyAlignment="1" applyProtection="1">
      <alignment horizontal="left" vertical="center" wrapText="1"/>
    </xf>
    <xf numFmtId="0" fontId="8" fillId="0" borderId="0" xfId="0" applyFont="1" applyBorder="1" applyAlignment="1" applyProtection="1">
      <alignment horizontal="left" wrapText="1"/>
    </xf>
    <xf numFmtId="0" fontId="8" fillId="0" borderId="35"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1" fillId="2" borderId="29" xfId="0" applyFont="1" applyFill="1" applyBorder="1" applyAlignment="1" applyProtection="1">
      <alignment horizontal="left" vertical="top"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18" fillId="0" borderId="31" xfId="0" applyFont="1" applyBorder="1" applyAlignment="1" applyProtection="1">
      <alignment horizontal="center" vertical="center"/>
    </xf>
    <xf numFmtId="0" fontId="18" fillId="0" borderId="37" xfId="0" applyFont="1" applyBorder="1" applyAlignment="1" applyProtection="1">
      <alignment horizontal="center" vertical="center"/>
    </xf>
    <xf numFmtId="0" fontId="34" fillId="12" borderId="31" xfId="0" applyFont="1" applyFill="1" applyBorder="1" applyAlignment="1" applyProtection="1">
      <alignment horizontal="center" vertical="center" wrapText="1"/>
    </xf>
    <xf numFmtId="0" fontId="34" fillId="12" borderId="37" xfId="0" applyFont="1" applyFill="1" applyBorder="1" applyAlignment="1" applyProtection="1">
      <alignment horizontal="center" vertical="center" wrapText="1"/>
    </xf>
    <xf numFmtId="0" fontId="34" fillId="12" borderId="38" xfId="0" applyFont="1" applyFill="1" applyBorder="1" applyAlignment="1" applyProtection="1">
      <alignment horizontal="center" vertical="center" wrapText="1"/>
    </xf>
    <xf numFmtId="0" fontId="6" fillId="0" borderId="0" xfId="0" applyFont="1" applyBorder="1" applyAlignment="1" applyProtection="1">
      <alignment horizontal="left"/>
    </xf>
    <xf numFmtId="16" fontId="5" fillId="0" borderId="6" xfId="0" quotePrefix="1" applyNumberFormat="1" applyFont="1" applyBorder="1" applyAlignment="1" applyProtection="1">
      <alignment horizontal="center" vertical="center"/>
    </xf>
    <xf numFmtId="0" fontId="1" fillId="10" borderId="0" xfId="0" applyFont="1" applyFill="1" applyBorder="1" applyAlignment="1" applyProtection="1">
      <alignment horizontal="left" vertical="center" wrapText="1"/>
    </xf>
    <xf numFmtId="0" fontId="1" fillId="10" borderId="53" xfId="0" applyFont="1" applyFill="1" applyBorder="1" applyAlignment="1" applyProtection="1">
      <alignment horizontal="left" vertical="center" wrapText="1"/>
    </xf>
    <xf numFmtId="0" fontId="1" fillId="0" borderId="35"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1" fillId="0" borderId="8" xfId="3" applyFont="1" applyBorder="1" applyAlignment="1" applyProtection="1">
      <alignment horizontal="left" vertical="center" wrapText="1"/>
    </xf>
    <xf numFmtId="0" fontId="1" fillId="0" borderId="17" xfId="3" applyFont="1" applyBorder="1" applyAlignment="1" applyProtection="1">
      <alignment horizontal="left" vertical="center" wrapText="1"/>
    </xf>
    <xf numFmtId="0" fontId="1" fillId="0" borderId="28" xfId="3" applyFont="1" applyBorder="1" applyAlignment="1" applyProtection="1">
      <alignment horizontal="left" vertical="center" wrapText="1"/>
    </xf>
    <xf numFmtId="0" fontId="1" fillId="0" borderId="26" xfId="3" applyFont="1" applyBorder="1" applyAlignment="1" applyProtection="1">
      <alignment horizontal="left" vertical="top" wrapText="1"/>
    </xf>
    <xf numFmtId="0" fontId="1" fillId="0" borderId="5" xfId="3" applyFont="1" applyBorder="1" applyAlignment="1" applyProtection="1">
      <alignment horizontal="left" vertical="top" wrapText="1"/>
    </xf>
    <xf numFmtId="0" fontId="1" fillId="0" borderId="50" xfId="3" applyFont="1" applyBorder="1" applyAlignment="1" applyProtection="1">
      <alignment horizontal="left" vertical="top" wrapText="1"/>
    </xf>
    <xf numFmtId="0" fontId="1" fillId="0" borderId="51" xfId="3" applyFont="1" applyBorder="1" applyAlignment="1" applyProtection="1">
      <alignment horizontal="left" vertical="top" wrapText="1"/>
    </xf>
    <xf numFmtId="0" fontId="1" fillId="0" borderId="52" xfId="3" applyFont="1" applyBorder="1" applyAlignment="1" applyProtection="1">
      <alignment horizontal="left" vertical="top" wrapText="1"/>
    </xf>
    <xf numFmtId="0" fontId="1" fillId="0" borderId="8" xfId="3" applyFont="1" applyFill="1" applyBorder="1" applyAlignment="1" applyProtection="1">
      <alignment horizontal="left" vertical="top" wrapText="1"/>
      <protection locked="0"/>
    </xf>
    <xf numFmtId="0" fontId="1" fillId="0" borderId="28" xfId="3" applyFont="1" applyFill="1" applyBorder="1" applyAlignment="1" applyProtection="1">
      <alignment horizontal="left" vertical="top" wrapText="1"/>
      <protection locked="0"/>
    </xf>
    <xf numFmtId="16" fontId="1" fillId="0" borderId="33" xfId="3" quotePrefix="1" applyNumberFormat="1" applyFont="1" applyBorder="1" applyAlignment="1" applyProtection="1">
      <alignment horizontal="center" vertical="top"/>
    </xf>
    <xf numFmtId="16" fontId="1" fillId="0" borderId="5" xfId="3" quotePrefix="1" applyNumberFormat="1" applyFont="1" applyBorder="1" applyAlignment="1" applyProtection="1">
      <alignment horizontal="center" vertical="top"/>
    </xf>
    <xf numFmtId="0" fontId="1" fillId="0" borderId="0" xfId="3" applyFont="1" applyBorder="1" applyAlignment="1" applyProtection="1">
      <alignment horizontal="center" vertical="top" wrapText="1"/>
    </xf>
    <xf numFmtId="0" fontId="4" fillId="10" borderId="8" xfId="3" applyFont="1" applyFill="1" applyBorder="1" applyAlignment="1" applyProtection="1">
      <alignment horizontal="center" vertical="top" wrapText="1"/>
    </xf>
    <xf numFmtId="0" fontId="4" fillId="10" borderId="28" xfId="3" applyFont="1" applyFill="1" applyBorder="1" applyAlignment="1" applyProtection="1">
      <alignment horizontal="center" vertical="top" wrapText="1"/>
    </xf>
    <xf numFmtId="0" fontId="4" fillId="10" borderId="5" xfId="3" applyFont="1" applyFill="1" applyBorder="1" applyAlignment="1" applyProtection="1">
      <alignment horizontal="center" vertical="top" wrapText="1"/>
    </xf>
    <xf numFmtId="0" fontId="4" fillId="10" borderId="3" xfId="3" applyFont="1" applyFill="1" applyBorder="1" applyAlignment="1" applyProtection="1">
      <alignment horizontal="center" vertical="top" wrapText="1"/>
    </xf>
    <xf numFmtId="0" fontId="4" fillId="10" borderId="33" xfId="3" applyFont="1" applyFill="1" applyBorder="1" applyAlignment="1" applyProtection="1">
      <alignment horizontal="center" vertical="top" wrapText="1"/>
    </xf>
    <xf numFmtId="0" fontId="1" fillId="0" borderId="48" xfId="3" applyFont="1" applyBorder="1" applyAlignment="1" applyProtection="1">
      <alignment horizontal="left" vertical="top" wrapText="1"/>
    </xf>
    <xf numFmtId="0" fontId="1" fillId="0" borderId="9" xfId="3" applyFont="1" applyBorder="1" applyAlignment="1" applyProtection="1">
      <alignment horizontal="left" vertical="top" wrapText="1"/>
    </xf>
    <xf numFmtId="0" fontId="1" fillId="0" borderId="17" xfId="3" applyFont="1" applyBorder="1" applyAlignment="1" applyProtection="1">
      <alignment horizontal="left" vertical="top" wrapText="1"/>
    </xf>
    <xf numFmtId="0" fontId="1" fillId="0" borderId="28" xfId="3" applyFont="1" applyBorder="1" applyAlignment="1" applyProtection="1">
      <alignment horizontal="left" vertical="top" wrapText="1"/>
    </xf>
    <xf numFmtId="0" fontId="1" fillId="0" borderId="74" xfId="3" applyFont="1" applyBorder="1" applyAlignment="1" applyProtection="1">
      <alignment horizontal="left" vertical="top" wrapText="1"/>
    </xf>
    <xf numFmtId="0" fontId="1" fillId="0" borderId="75" xfId="3" applyFont="1" applyBorder="1" applyAlignment="1" applyProtection="1">
      <alignment horizontal="left" vertical="top" wrapText="1"/>
    </xf>
    <xf numFmtId="0" fontId="1" fillId="0" borderId="76" xfId="3" applyFont="1" applyBorder="1" applyAlignment="1" applyProtection="1">
      <alignment horizontal="left" vertical="top" wrapText="1"/>
    </xf>
    <xf numFmtId="0" fontId="4" fillId="10" borderId="37" xfId="3" applyFont="1" applyFill="1" applyBorder="1" applyAlignment="1" applyProtection="1">
      <alignment horizontal="left" vertical="center" wrapText="1"/>
    </xf>
    <xf numFmtId="0" fontId="4" fillId="10" borderId="38" xfId="3" applyFont="1" applyFill="1" applyBorder="1" applyAlignment="1" applyProtection="1">
      <alignment horizontal="left" vertical="center" wrapText="1"/>
    </xf>
    <xf numFmtId="0" fontId="1" fillId="0" borderId="16" xfId="3" applyFont="1" applyBorder="1" applyAlignment="1" applyProtection="1">
      <alignment horizontal="left" vertical="top" wrapText="1"/>
    </xf>
    <xf numFmtId="0" fontId="1" fillId="0" borderId="0" xfId="3" applyFont="1" applyBorder="1" applyAlignment="1" applyProtection="1">
      <alignment horizontal="left" vertical="top" wrapText="1"/>
    </xf>
    <xf numFmtId="0" fontId="1" fillId="0" borderId="53" xfId="3" applyFont="1" applyBorder="1" applyAlignment="1" applyProtection="1">
      <alignment horizontal="left" vertical="top" wrapText="1"/>
    </xf>
    <xf numFmtId="0" fontId="1" fillId="0" borderId="42" xfId="3"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4" fillId="10" borderId="37" xfId="3" applyFont="1" applyFill="1" applyBorder="1" applyAlignment="1" applyProtection="1">
      <alignment horizontal="left" vertical="center"/>
    </xf>
    <xf numFmtId="0" fontId="4" fillId="10" borderId="38" xfId="3" applyFont="1" applyFill="1" applyBorder="1" applyAlignment="1" applyProtection="1">
      <alignment horizontal="left" vertical="center"/>
    </xf>
    <xf numFmtId="16" fontId="1" fillId="0" borderId="33" xfId="3" quotePrefix="1" applyNumberFormat="1" applyFont="1" applyBorder="1" applyAlignment="1" applyProtection="1">
      <alignment horizontal="left" vertical="top" wrapText="1"/>
    </xf>
    <xf numFmtId="16" fontId="1" fillId="0" borderId="33" xfId="3" quotePrefix="1" applyNumberFormat="1" applyFont="1" applyBorder="1" applyAlignment="1" applyProtection="1">
      <alignment horizontal="left" vertical="top"/>
    </xf>
    <xf numFmtId="16" fontId="1" fillId="0" borderId="77" xfId="3" quotePrefix="1" applyNumberFormat="1" applyFont="1" applyBorder="1" applyAlignment="1" applyProtection="1">
      <alignment horizontal="left" vertical="top"/>
    </xf>
    <xf numFmtId="0" fontId="1" fillId="0" borderId="57" xfId="0" applyFont="1" applyBorder="1" applyAlignment="1" applyProtection="1">
      <alignment horizontal="center" vertical="top"/>
    </xf>
    <xf numFmtId="0" fontId="1" fillId="0" borderId="73" xfId="0" applyFont="1" applyBorder="1" applyAlignment="1" applyProtection="1">
      <alignment horizontal="center" vertical="top"/>
    </xf>
    <xf numFmtId="0" fontId="1" fillId="0" borderId="11" xfId="3" applyFont="1" applyBorder="1" applyAlignment="1" applyProtection="1">
      <alignment horizontal="left" vertical="center" wrapText="1"/>
    </xf>
    <xf numFmtId="0" fontId="1" fillId="0" borderId="10" xfId="3" applyFont="1" applyBorder="1" applyAlignment="1" applyProtection="1">
      <alignment horizontal="left" vertical="center" wrapText="1"/>
    </xf>
    <xf numFmtId="0" fontId="1" fillId="0" borderId="45" xfId="3" applyFont="1" applyBorder="1" applyAlignment="1" applyProtection="1">
      <alignment horizontal="left" vertical="center" wrapText="1"/>
    </xf>
    <xf numFmtId="0" fontId="1" fillId="0" borderId="13" xfId="3" applyFont="1" applyBorder="1" applyAlignment="1" applyProtection="1">
      <alignment horizontal="left" vertical="center" wrapText="1"/>
    </xf>
    <xf numFmtId="0" fontId="5" fillId="13" borderId="11" xfId="0" applyFont="1" applyFill="1" applyBorder="1" applyAlignment="1" applyProtection="1">
      <alignment horizontal="center" vertical="center" wrapText="1"/>
      <protection locked="0"/>
    </xf>
    <xf numFmtId="0" fontId="5" fillId="13" borderId="47"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vertical="center" wrapText="1"/>
    </xf>
    <xf numFmtId="0" fontId="5" fillId="4" borderId="46" xfId="0" applyFont="1" applyFill="1" applyBorder="1" applyAlignment="1" applyProtection="1">
      <alignment horizontal="center" vertical="center" wrapText="1"/>
    </xf>
    <xf numFmtId="0" fontId="35" fillId="12" borderId="31" xfId="0" applyFont="1" applyFill="1" applyBorder="1" applyAlignment="1" applyProtection="1">
      <alignment horizontal="center" vertical="center"/>
    </xf>
    <xf numFmtId="0" fontId="35" fillId="12" borderId="37" xfId="0" applyFont="1" applyFill="1" applyBorder="1" applyAlignment="1" applyProtection="1">
      <alignment horizontal="center" vertical="center"/>
    </xf>
    <xf numFmtId="0" fontId="35" fillId="12" borderId="38" xfId="0" applyFont="1" applyFill="1" applyBorder="1" applyAlignment="1" applyProtection="1">
      <alignment horizontal="center" vertical="center"/>
    </xf>
    <xf numFmtId="16" fontId="5" fillId="0" borderId="57" xfId="3" quotePrefix="1" applyNumberFormat="1" applyFont="1" applyBorder="1" applyAlignment="1" applyProtection="1">
      <alignment horizontal="center" vertical="top"/>
    </xf>
    <xf numFmtId="0" fontId="5" fillId="0" borderId="27" xfId="3" applyFont="1" applyBorder="1" applyAlignment="1" applyProtection="1">
      <alignment horizontal="center" vertical="top"/>
    </xf>
    <xf numFmtId="0" fontId="1" fillId="0" borderId="48" xfId="3" applyFont="1" applyBorder="1" applyAlignment="1" applyProtection="1">
      <alignment horizontal="center" vertical="top" wrapText="1"/>
    </xf>
    <xf numFmtId="0" fontId="1" fillId="0" borderId="9" xfId="3" applyFont="1" applyBorder="1" applyAlignment="1" applyProtection="1">
      <alignment horizontal="center" vertical="top" wrapText="1"/>
    </xf>
    <xf numFmtId="0" fontId="1" fillId="0" borderId="8" xfId="3" applyFont="1" applyBorder="1" applyAlignment="1" applyProtection="1">
      <alignment horizontal="left" vertical="top" wrapText="1"/>
    </xf>
    <xf numFmtId="0" fontId="1" fillId="0" borderId="8" xfId="3" applyFont="1" applyFill="1" applyBorder="1" applyAlignment="1" applyProtection="1">
      <alignment horizontal="left" vertical="top" wrapText="1"/>
    </xf>
    <xf numFmtId="0" fontId="1" fillId="0" borderId="17" xfId="3" applyFont="1" applyFill="1" applyBorder="1" applyAlignment="1" applyProtection="1">
      <alignment horizontal="left" vertical="top" wrapText="1"/>
    </xf>
    <xf numFmtId="0" fontId="1" fillId="0" borderId="28" xfId="3" applyFont="1" applyFill="1" applyBorder="1" applyAlignment="1" applyProtection="1">
      <alignment horizontal="left" vertical="top" wrapText="1"/>
    </xf>
    <xf numFmtId="0" fontId="1" fillId="0" borderId="49" xfId="3" applyFont="1" applyBorder="1" applyAlignment="1" applyProtection="1">
      <alignment horizontal="left" vertical="top" wrapText="1"/>
    </xf>
    <xf numFmtId="0" fontId="1" fillId="0" borderId="40" xfId="3" applyFont="1" applyBorder="1" applyAlignment="1" applyProtection="1">
      <alignment horizontal="left" vertical="top" wrapText="1"/>
    </xf>
    <xf numFmtId="0" fontId="1" fillId="0" borderId="41" xfId="3" applyFont="1" applyBorder="1" applyAlignment="1" applyProtection="1">
      <alignment horizontal="left" vertical="top" wrapText="1"/>
    </xf>
    <xf numFmtId="0" fontId="0" fillId="0" borderId="5" xfId="0" applyFill="1" applyBorder="1" applyAlignment="1" applyProtection="1">
      <alignment horizontal="left" vertical="top" wrapText="1"/>
    </xf>
    <xf numFmtId="0" fontId="24" fillId="10" borderId="37" xfId="3" applyFont="1" applyFill="1" applyBorder="1" applyAlignment="1" applyProtection="1">
      <alignment horizontal="left" vertical="center" wrapText="1"/>
    </xf>
    <xf numFmtId="0" fontId="24" fillId="10" borderId="38" xfId="3" applyFont="1" applyFill="1" applyBorder="1" applyAlignment="1" applyProtection="1">
      <alignment horizontal="left" vertical="center" wrapText="1"/>
    </xf>
    <xf numFmtId="0" fontId="1" fillId="0" borderId="11"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1" fillId="0" borderId="5" xfId="3" applyFont="1" applyFill="1" applyBorder="1" applyAlignment="1" applyProtection="1">
      <alignment horizontal="left" vertical="top" wrapText="1"/>
      <protection locked="0"/>
    </xf>
    <xf numFmtId="16" fontId="1" fillId="0" borderId="39" xfId="3" quotePrefix="1" applyNumberFormat="1" applyFont="1" applyBorder="1" applyAlignment="1" applyProtection="1">
      <alignment horizontal="left" vertical="center"/>
    </xf>
    <xf numFmtId="16" fontId="1" fillId="0" borderId="68" xfId="3" quotePrefix="1" applyNumberFormat="1" applyFont="1" applyBorder="1" applyAlignment="1" applyProtection="1">
      <alignment horizontal="left" vertical="center"/>
    </xf>
    <xf numFmtId="0" fontId="1" fillId="13" borderId="13" xfId="3" applyFont="1" applyFill="1" applyBorder="1" applyAlignment="1" applyProtection="1">
      <alignment horizontal="left" vertical="center" wrapText="1"/>
    </xf>
    <xf numFmtId="0" fontId="1" fillId="13" borderId="40" xfId="3" applyFont="1" applyFill="1" applyBorder="1" applyAlignment="1" applyProtection="1">
      <alignment horizontal="left" vertical="center" wrapText="1"/>
    </xf>
    <xf numFmtId="0" fontId="1" fillId="13" borderId="43" xfId="3" applyFont="1" applyFill="1" applyBorder="1" applyAlignment="1" applyProtection="1">
      <alignment horizontal="left" vertical="center" wrapText="1"/>
    </xf>
    <xf numFmtId="0" fontId="1" fillId="0" borderId="45" xfId="3" applyFont="1" applyBorder="1" applyAlignment="1" applyProtection="1">
      <alignment horizontal="left" vertical="top" wrapText="1"/>
    </xf>
    <xf numFmtId="0" fontId="1" fillId="0" borderId="13" xfId="3" applyFont="1" applyBorder="1" applyAlignment="1" applyProtection="1">
      <alignment horizontal="left" vertical="top" wrapText="1"/>
    </xf>
    <xf numFmtId="0" fontId="1" fillId="0" borderId="68" xfId="3" applyFont="1" applyBorder="1" applyAlignment="1" applyProtection="1">
      <alignment horizontal="left" vertical="top" wrapText="1"/>
    </xf>
    <xf numFmtId="0" fontId="5" fillId="0" borderId="0" xfId="0" applyFont="1" applyAlignment="1" applyProtection="1">
      <alignment horizontal="left" vertical="top" wrapText="1"/>
    </xf>
    <xf numFmtId="0" fontId="19" fillId="0" borderId="0" xfId="1" applyAlignment="1" applyProtection="1">
      <alignment horizontal="left" vertical="top"/>
    </xf>
    <xf numFmtId="0" fontId="1" fillId="0" borderId="0" xfId="3" applyFont="1" applyProtection="1"/>
    <xf numFmtId="0" fontId="4" fillId="10" borderId="14" xfId="3" applyFont="1" applyFill="1" applyBorder="1" applyAlignment="1" applyProtection="1">
      <alignment horizontal="left" vertical="center" wrapText="1"/>
    </xf>
    <xf numFmtId="0" fontId="1" fillId="0" borderId="11" xfId="3" applyFont="1" applyBorder="1" applyAlignment="1" applyProtection="1">
      <alignment horizontal="center" vertical="top" wrapText="1"/>
    </xf>
    <xf numFmtId="0" fontId="1" fillId="0" borderId="10" xfId="3" applyFont="1" applyBorder="1" applyAlignment="1" applyProtection="1">
      <alignment horizontal="center" vertical="top" wrapText="1"/>
    </xf>
    <xf numFmtId="0" fontId="1" fillId="0" borderId="12" xfId="3" applyFont="1" applyBorder="1" applyAlignment="1" applyProtection="1">
      <alignment horizontal="center" vertical="top" wrapText="1"/>
    </xf>
    <xf numFmtId="0" fontId="4" fillId="10" borderId="72" xfId="3" applyFont="1" applyFill="1" applyBorder="1" applyAlignment="1" applyProtection="1">
      <alignment horizontal="center" vertical="top" wrapText="1"/>
    </xf>
    <xf numFmtId="0" fontId="1" fillId="0" borderId="33" xfId="3" applyFont="1" applyBorder="1" applyAlignment="1" applyProtection="1">
      <alignment horizontal="left" vertical="top"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6" fillId="6" borderId="1" xfId="0" applyFont="1" applyFill="1" applyBorder="1" applyAlignment="1">
      <alignment horizontal="center"/>
    </xf>
    <xf numFmtId="0" fontId="16" fillId="6" borderId="35" xfId="0" applyFont="1" applyFill="1" applyBorder="1" applyAlignment="1">
      <alignment horizontal="center"/>
    </xf>
    <xf numFmtId="0" fontId="16" fillId="6" borderId="2" xfId="0" applyFont="1" applyFill="1" applyBorder="1" applyAlignment="1">
      <alignment horizontal="center"/>
    </xf>
    <xf numFmtId="0" fontId="5" fillId="13" borderId="79" xfId="0" applyFont="1" applyFill="1" applyBorder="1" applyAlignment="1">
      <alignment horizontal="center" vertical="center" wrapText="1"/>
    </xf>
    <xf numFmtId="0" fontId="5" fillId="13" borderId="80" xfId="0" applyFont="1" applyFill="1" applyBorder="1" applyAlignment="1">
      <alignment horizontal="center" vertical="center" wrapText="1"/>
    </xf>
    <xf numFmtId="0" fontId="5" fillId="13" borderId="77" xfId="0" applyFont="1" applyFill="1" applyBorder="1" applyAlignment="1">
      <alignment horizontal="center" vertical="center" wrapText="1"/>
    </xf>
  </cellXfs>
  <cellStyles count="5">
    <cellStyle name="Link" xfId="1" builtinId="8"/>
    <cellStyle name="Prozent 2" xfId="2" xr:uid="{00000000-0005-0000-0000-000002000000}"/>
    <cellStyle name="Standard" xfId="0" builtinId="0"/>
    <cellStyle name="Standard 2" xfId="3" xr:uid="{20F9335A-7510-4BA1-A246-8C334E444573}"/>
    <cellStyle name="Standard 3" xfId="4" xr:uid="{FEF1E6C7-0DEE-43BC-B053-6A746CD4DAB3}"/>
  </cellStyles>
  <dxfs count="152">
    <dxf>
      <font>
        <condense val="0"/>
        <extend val="0"/>
        <color auto="1"/>
      </font>
      <fill>
        <patternFill>
          <bgColor indexed="11"/>
        </patternFill>
      </fill>
    </dxf>
    <dxf>
      <font>
        <condense val="0"/>
        <extend val="0"/>
        <color indexed="9"/>
      </font>
      <fill>
        <patternFill>
          <bgColor indexed="10"/>
        </patternFill>
      </fill>
    </dxf>
    <dxf>
      <fill>
        <patternFill>
          <bgColor indexed="11"/>
        </patternFill>
      </fill>
    </dxf>
    <dxf>
      <font>
        <condense val="0"/>
        <extend val="0"/>
        <color indexed="9"/>
      </font>
      <fill>
        <patternFill>
          <bgColor indexed="10"/>
        </patternFill>
      </fill>
    </dxf>
    <dxf>
      <fill>
        <patternFill>
          <bgColor indexed="11"/>
        </patternFill>
      </fill>
    </dxf>
    <dxf>
      <font>
        <condense val="0"/>
        <extend val="0"/>
        <color indexed="9"/>
      </font>
      <fill>
        <patternFill>
          <bgColor indexed="1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ont>
        <color theme="0"/>
      </font>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3624265</xdr:colOff>
      <xdr:row>0</xdr:row>
      <xdr:rowOff>34926</xdr:rowOff>
    </xdr:from>
    <xdr:ext cx="1010931" cy="504000"/>
    <xdr:pic>
      <xdr:nvPicPr>
        <xdr:cNvPr id="4" name="Picture 2">
          <a:extLst>
            <a:ext uri="{FF2B5EF4-FFF2-40B4-BE49-F238E27FC236}">
              <a16:creationId xmlns:a16="http://schemas.microsoft.com/office/drawing/2014/main" id="{67A521EB-5A36-41AF-AD1A-5D60DE0C3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96851"/>
          <a:ext cx="1010931" cy="504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0</xdr:row>
      <xdr:rowOff>28575</xdr:rowOff>
    </xdr:from>
    <xdr:to>
      <xdr:col>10</xdr:col>
      <xdr:colOff>1209675</xdr:colOff>
      <xdr:row>0</xdr:row>
      <xdr:rowOff>512256</xdr:rowOff>
    </xdr:to>
    <xdr:pic>
      <xdr:nvPicPr>
        <xdr:cNvPr id="7" name="Picture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28575"/>
          <a:ext cx="1095375" cy="483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304800</xdr:colOff>
      <xdr:row>0</xdr:row>
      <xdr:rowOff>28575</xdr:rowOff>
    </xdr:from>
    <xdr:to>
      <xdr:col>10</xdr:col>
      <xdr:colOff>723900</xdr:colOff>
      <xdr:row>0</xdr:row>
      <xdr:rowOff>512256</xdr:rowOff>
    </xdr:to>
    <xdr:pic>
      <xdr:nvPicPr>
        <xdr:cNvPr id="11" name="Picture 2">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28575"/>
          <a:ext cx="1095375" cy="483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352425</xdr:colOff>
      <xdr:row>0</xdr:row>
      <xdr:rowOff>38100</xdr:rowOff>
    </xdr:from>
    <xdr:to>
      <xdr:col>5</xdr:col>
      <xdr:colOff>1447800</xdr:colOff>
      <xdr:row>0</xdr:row>
      <xdr:rowOff>521781</xdr:rowOff>
    </xdr:to>
    <xdr:pic>
      <xdr:nvPicPr>
        <xdr:cNvPr id="4"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6900" y="38100"/>
          <a:ext cx="1095375" cy="483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28575</xdr:rowOff>
    </xdr:from>
    <xdr:to>
      <xdr:col>6</xdr:col>
      <xdr:colOff>1323975</xdr:colOff>
      <xdr:row>0</xdr:row>
      <xdr:rowOff>512256</xdr:rowOff>
    </xdr:to>
    <xdr:pic>
      <xdr:nvPicPr>
        <xdr:cNvPr id="5" name="Picture 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5025" y="28575"/>
          <a:ext cx="1095375" cy="483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pie%20von%20T.PU.005%20Supplier%20Self%20Assessment%20and%20Approval%20Form_V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ppeme/Downloads/T.PU.005%20Supplier%20Self%20Assessment%20and%20Approval%20Form_V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
      <sheetName val="Porfolio"/>
      <sheetName val="A Company Profile"/>
      <sheetName val="B Financial &amp; C Quality"/>
      <sheetName val="D HSE Evaluation"/>
      <sheetName val="E Social Responsibility"/>
      <sheetName val="F Sup.Approv.(former T.PU.009)"/>
      <sheetName val="Language table"/>
      <sheetName val="Change histor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amp; Language"/>
      <sheetName val="A Profile &amp; Portfolio"/>
      <sheetName val="B Financial &amp; C Quality"/>
      <sheetName val="C HSE Evaluation"/>
      <sheetName val="D Social Responsibility"/>
      <sheetName val="Language table"/>
      <sheetName val="Change history"/>
      <sheetName val="Explanation"/>
    </sheetNames>
    <sheetDataSet>
      <sheetData sheetId="0"/>
      <sheetData sheetId="1"/>
      <sheetData sheetId="2">
        <row r="34">
          <cell r="D34"/>
        </row>
      </sheetData>
      <sheetData sheetId="3"/>
      <sheetData sheetId="4"/>
      <sheetData sheetId="5">
        <row r="4">
          <cell r="B4" t="str">
            <v>Please select!</v>
          </cell>
        </row>
      </sheetData>
      <sheetData sheetId="6"/>
      <sheetData sheetId="7" refreshError="1"/>
    </sheetDataSet>
  </externalBook>
</externalLink>
</file>

<file path=xl/theme/theme1.xml><?xml version="1.0" encoding="utf-8"?>
<a:theme xmlns:a="http://schemas.openxmlformats.org/drawingml/2006/main" name="Office">
  <a:themeElements>
    <a:clrScheme name="BENTELER">
      <a:dk1>
        <a:srgbClr val="004996"/>
      </a:dk1>
      <a:lt1>
        <a:srgbClr val="FFFFFF"/>
      </a:lt1>
      <a:dk2>
        <a:srgbClr val="004996"/>
      </a:dk2>
      <a:lt2>
        <a:srgbClr val="DEE0E1"/>
      </a:lt2>
      <a:accent1>
        <a:srgbClr val="3183C5"/>
      </a:accent1>
      <a:accent2>
        <a:srgbClr val="70AEDF"/>
      </a:accent2>
      <a:accent3>
        <a:srgbClr val="8DC2EA"/>
      </a:accent3>
      <a:accent4>
        <a:srgbClr val="DFEFFB"/>
      </a:accent4>
      <a:accent5>
        <a:srgbClr val="00A7DE"/>
      </a:accent5>
      <a:accent6>
        <a:srgbClr val="E46C0A"/>
      </a:accent6>
      <a:hlink>
        <a:srgbClr val="FFFFFF"/>
      </a:hlink>
      <a:folHlink>
        <a:srgbClr val="0049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www.ilo.org/ilolex/english/convdisp1.ht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17FA-0625-4A30-9C8E-EA3BD7E19FC9}">
  <sheetPr>
    <pageSetUpPr fitToPage="1"/>
  </sheetPr>
  <dimension ref="A1:P27"/>
  <sheetViews>
    <sheetView tabSelected="1" zoomScaleNormal="100" zoomScaleSheetLayoutView="120" workbookViewId="0">
      <selection activeCell="J4" sqref="J4"/>
    </sheetView>
  </sheetViews>
  <sheetFormatPr baseColWidth="10" defaultColWidth="11.42578125" defaultRowHeight="12.75"/>
  <cols>
    <col min="1" max="1" width="15.28515625" style="135" customWidth="1"/>
    <col min="2" max="2" width="70.7109375" style="134" customWidth="1"/>
    <col min="3" max="3" width="7.85546875" style="151" customWidth="1"/>
    <col min="4" max="4" width="14.42578125" style="135" customWidth="1"/>
    <col min="5" max="5" width="70.7109375" style="135" customWidth="1"/>
    <col min="6" max="16384" width="11.42578125" style="135"/>
  </cols>
  <sheetData>
    <row r="1" spans="1:16" ht="42" customHeight="1">
      <c r="A1" s="262" t="s">
        <v>1263</v>
      </c>
      <c r="B1" s="294" t="s">
        <v>1369</v>
      </c>
      <c r="C1" s="294"/>
      <c r="D1" s="294"/>
      <c r="E1" s="294"/>
    </row>
    <row r="2" spans="1:16" ht="13.5" thickBot="1"/>
    <row r="3" spans="1:16" s="136" customFormat="1" ht="69.95" customHeight="1">
      <c r="A3" s="299" t="s">
        <v>1391</v>
      </c>
      <c r="B3" s="300"/>
      <c r="C3" s="152"/>
      <c r="D3" s="299" t="s">
        <v>1392</v>
      </c>
      <c r="E3" s="300"/>
    </row>
    <row r="4" spans="1:16" s="136" customFormat="1" ht="285.75" customHeight="1">
      <c r="A4" s="295" t="s">
        <v>1435</v>
      </c>
      <c r="B4" s="296"/>
      <c r="C4" s="100"/>
      <c r="D4" s="297" t="s">
        <v>1436</v>
      </c>
      <c r="E4" s="298"/>
    </row>
    <row r="5" spans="1:16" s="136" customFormat="1" ht="12.75" customHeight="1">
      <c r="A5" s="160"/>
      <c r="B5" s="161"/>
      <c r="C5" s="131"/>
      <c r="D5" s="154"/>
      <c r="E5" s="155"/>
    </row>
    <row r="6" spans="1:16" s="150" customFormat="1" ht="20.100000000000001" customHeight="1">
      <c r="A6" s="292" t="s">
        <v>1428</v>
      </c>
      <c r="B6" s="293"/>
      <c r="C6" s="143"/>
      <c r="D6" s="292" t="s">
        <v>1433</v>
      </c>
      <c r="E6" s="293"/>
      <c r="F6" s="141"/>
      <c r="G6" s="141"/>
      <c r="H6" s="141"/>
      <c r="I6" s="141"/>
      <c r="J6" s="141"/>
      <c r="K6" s="141"/>
      <c r="L6" s="141"/>
      <c r="M6" s="141"/>
      <c r="N6" s="141"/>
      <c r="O6" s="141"/>
      <c r="P6" s="141"/>
    </row>
    <row r="7" spans="1:16" s="136" customFormat="1" ht="18" customHeight="1">
      <c r="A7" s="198" t="s">
        <v>370</v>
      </c>
      <c r="B7" s="197" t="s">
        <v>377</v>
      </c>
      <c r="C7" s="132"/>
      <c r="D7" s="198" t="s">
        <v>370</v>
      </c>
      <c r="E7" s="200" t="s">
        <v>372</v>
      </c>
      <c r="F7" s="137"/>
      <c r="G7" s="137"/>
      <c r="H7" s="137"/>
      <c r="I7" s="137"/>
      <c r="J7" s="137"/>
      <c r="L7" s="137"/>
      <c r="M7" s="137"/>
      <c r="N7" s="137"/>
      <c r="O7" s="137"/>
      <c r="P7" s="137"/>
    </row>
    <row r="8" spans="1:16" s="136" customFormat="1" ht="18" customHeight="1">
      <c r="A8" s="199" t="s">
        <v>371</v>
      </c>
      <c r="B8" s="163" t="s">
        <v>1400</v>
      </c>
      <c r="C8" s="132"/>
      <c r="D8" s="199" t="s">
        <v>371</v>
      </c>
      <c r="E8" s="163" t="s">
        <v>1434</v>
      </c>
      <c r="F8" s="137"/>
      <c r="G8" s="137"/>
      <c r="H8" s="137"/>
      <c r="I8" s="137"/>
      <c r="J8" s="137"/>
      <c r="K8" s="137"/>
      <c r="L8" s="137"/>
      <c r="M8" s="137"/>
      <c r="N8" s="137"/>
      <c r="O8" s="137"/>
      <c r="P8" s="137"/>
    </row>
    <row r="9" spans="1:16" s="136" customFormat="1" ht="25.5">
      <c r="A9" s="195" t="s">
        <v>1401</v>
      </c>
      <c r="B9" s="156" t="s">
        <v>1403</v>
      </c>
      <c r="C9" s="132"/>
      <c r="D9" s="196" t="s">
        <v>1401</v>
      </c>
      <c r="E9" s="156" t="s">
        <v>1437</v>
      </c>
      <c r="F9" s="137"/>
      <c r="G9" s="137"/>
      <c r="H9" s="137"/>
      <c r="I9" s="137"/>
      <c r="J9" s="137"/>
      <c r="K9" s="137"/>
      <c r="L9" s="137"/>
      <c r="M9" s="137"/>
      <c r="N9" s="137"/>
      <c r="O9" s="137"/>
      <c r="P9" s="137"/>
    </row>
    <row r="10" spans="1:16" s="150" customFormat="1" ht="20.100000000000001" customHeight="1">
      <c r="A10" s="292" t="s">
        <v>1429</v>
      </c>
      <c r="B10" s="293"/>
      <c r="C10" s="140"/>
      <c r="D10" s="292" t="s">
        <v>1432</v>
      </c>
      <c r="E10" s="293"/>
      <c r="F10" s="141"/>
      <c r="G10" s="141"/>
      <c r="H10" s="141"/>
      <c r="I10" s="141"/>
      <c r="J10" s="141"/>
      <c r="K10" s="141"/>
      <c r="L10" s="141"/>
      <c r="M10" s="141"/>
      <c r="N10" s="141"/>
      <c r="O10" s="141"/>
      <c r="P10" s="141"/>
    </row>
    <row r="11" spans="1:16" s="136" customFormat="1" ht="30" customHeight="1">
      <c r="A11" s="198" t="s">
        <v>370</v>
      </c>
      <c r="B11" s="197" t="s">
        <v>1404</v>
      </c>
      <c r="C11" s="132"/>
      <c r="D11" s="198" t="s">
        <v>370</v>
      </c>
      <c r="E11" s="197" t="s">
        <v>1405</v>
      </c>
      <c r="F11" s="137"/>
      <c r="G11" s="137"/>
      <c r="H11" s="137"/>
      <c r="I11" s="137"/>
      <c r="J11" s="137"/>
      <c r="K11" s="137"/>
      <c r="L11" s="137"/>
      <c r="M11" s="137"/>
      <c r="N11" s="137"/>
      <c r="O11" s="137"/>
      <c r="P11" s="137"/>
    </row>
    <row r="12" spans="1:16" s="136" customFormat="1" ht="28.5" customHeight="1">
      <c r="A12" s="195" t="s">
        <v>371</v>
      </c>
      <c r="B12" s="156" t="s">
        <v>1393</v>
      </c>
      <c r="C12" s="132"/>
      <c r="D12" s="195" t="s">
        <v>371</v>
      </c>
      <c r="E12" s="156" t="s">
        <v>375</v>
      </c>
      <c r="F12" s="137"/>
      <c r="G12" s="137"/>
      <c r="H12" s="137"/>
      <c r="I12" s="137"/>
      <c r="J12" s="137"/>
      <c r="K12" s="137"/>
      <c r="L12" s="137"/>
      <c r="M12" s="137"/>
      <c r="N12" s="137"/>
      <c r="O12" s="137"/>
      <c r="P12" s="137"/>
    </row>
    <row r="13" spans="1:16" s="142" customFormat="1" ht="20.100000000000001" customHeight="1">
      <c r="A13" s="290" t="s">
        <v>1438</v>
      </c>
      <c r="B13" s="291"/>
      <c r="C13" s="140"/>
      <c r="D13" s="290" t="s">
        <v>1439</v>
      </c>
      <c r="E13" s="291"/>
    </row>
    <row r="14" spans="1:16" s="136" customFormat="1" ht="60.75" customHeight="1">
      <c r="A14" s="196" t="s">
        <v>370</v>
      </c>
      <c r="B14" s="156" t="s">
        <v>1394</v>
      </c>
      <c r="C14" s="132"/>
      <c r="D14" s="196" t="s">
        <v>370</v>
      </c>
      <c r="E14" s="156" t="s">
        <v>1395</v>
      </c>
      <c r="F14" s="137"/>
      <c r="G14" s="137"/>
      <c r="H14" s="137"/>
      <c r="I14" s="137"/>
      <c r="J14" s="137"/>
      <c r="K14" s="137"/>
      <c r="L14" s="137"/>
      <c r="M14" s="137"/>
      <c r="N14" s="137"/>
      <c r="O14" s="137"/>
      <c r="P14" s="137"/>
    </row>
    <row r="15" spans="1:16" s="150" customFormat="1" ht="20.100000000000001" customHeight="1">
      <c r="A15" s="292" t="s">
        <v>1430</v>
      </c>
      <c r="B15" s="293"/>
      <c r="C15" s="140"/>
      <c r="D15" s="292" t="s">
        <v>1431</v>
      </c>
      <c r="E15" s="293"/>
      <c r="F15" s="141"/>
      <c r="G15" s="141"/>
      <c r="H15" s="141"/>
      <c r="I15" s="141"/>
      <c r="J15" s="141"/>
      <c r="K15" s="141"/>
      <c r="L15" s="141"/>
      <c r="M15" s="141"/>
      <c r="N15" s="141"/>
      <c r="O15" s="141"/>
      <c r="P15" s="141"/>
    </row>
    <row r="16" spans="1:16" s="136" customFormat="1" ht="81" customHeight="1">
      <c r="A16" s="201" t="s">
        <v>370</v>
      </c>
      <c r="B16" s="197" t="s">
        <v>1396</v>
      </c>
      <c r="C16" s="132"/>
      <c r="D16" s="201" t="s">
        <v>370</v>
      </c>
      <c r="E16" s="197" t="s">
        <v>1398</v>
      </c>
      <c r="F16" s="137"/>
      <c r="G16" s="137"/>
      <c r="H16" s="137"/>
      <c r="I16" s="137"/>
      <c r="J16" s="137"/>
      <c r="L16" s="137"/>
      <c r="M16" s="137"/>
      <c r="N16" s="137"/>
      <c r="O16" s="137"/>
      <c r="P16" s="137"/>
    </row>
    <row r="17" spans="1:16" s="136" customFormat="1" ht="31.5" customHeight="1">
      <c r="A17" s="195" t="s">
        <v>371</v>
      </c>
      <c r="B17" s="156" t="s">
        <v>1397</v>
      </c>
      <c r="C17" s="132"/>
      <c r="D17" s="195" t="s">
        <v>371</v>
      </c>
      <c r="E17" s="156" t="s">
        <v>1399</v>
      </c>
      <c r="F17" s="137"/>
      <c r="G17" s="137"/>
      <c r="H17" s="137"/>
      <c r="I17" s="137"/>
      <c r="J17" s="137"/>
      <c r="L17" s="137"/>
      <c r="M17" s="137"/>
      <c r="N17" s="137"/>
      <c r="O17" s="137"/>
      <c r="P17" s="137"/>
    </row>
    <row r="18" spans="1:16" s="136" customFormat="1" ht="9" customHeight="1" thickBot="1">
      <c r="A18" s="157"/>
      <c r="B18" s="162"/>
      <c r="C18" s="139"/>
      <c r="D18" s="157"/>
      <c r="E18" s="158"/>
      <c r="F18" s="137"/>
      <c r="G18" s="137"/>
      <c r="H18" s="137"/>
      <c r="I18" s="137"/>
      <c r="J18" s="137"/>
    </row>
    <row r="19" spans="1:16" s="136" customFormat="1" ht="19.5" customHeight="1">
      <c r="A19" s="286" t="s">
        <v>1406</v>
      </c>
      <c r="B19" s="287"/>
      <c r="C19" s="133"/>
      <c r="D19" s="288" t="s">
        <v>1407</v>
      </c>
      <c r="E19" s="289"/>
      <c r="F19" s="137"/>
      <c r="G19" s="137"/>
      <c r="H19" s="137"/>
      <c r="I19" s="137"/>
      <c r="J19" s="137"/>
      <c r="K19" s="137"/>
      <c r="L19" s="137"/>
      <c r="M19" s="137"/>
      <c r="N19" s="137"/>
      <c r="O19" s="137"/>
      <c r="P19" s="137"/>
    </row>
    <row r="20" spans="1:16" s="136" customFormat="1" ht="24.95" customHeight="1">
      <c r="A20" s="263" t="s">
        <v>1415</v>
      </c>
      <c r="B20" s="163" t="s">
        <v>1335</v>
      </c>
      <c r="C20" s="132"/>
      <c r="D20" s="265" t="s">
        <v>1336</v>
      </c>
      <c r="E20" s="163" t="s">
        <v>1342</v>
      </c>
      <c r="F20" s="137"/>
      <c r="G20" s="137"/>
      <c r="H20" s="137"/>
      <c r="I20" s="137"/>
      <c r="J20" s="137"/>
      <c r="K20" s="137"/>
      <c r="L20" s="137"/>
      <c r="M20" s="137"/>
      <c r="N20" s="137"/>
      <c r="O20" s="137"/>
      <c r="P20" s="137"/>
    </row>
    <row r="21" spans="1:16" s="136" customFormat="1" ht="24.95" customHeight="1">
      <c r="A21" s="263" t="s">
        <v>1416</v>
      </c>
      <c r="B21" s="156" t="s">
        <v>1442</v>
      </c>
      <c r="C21" s="132"/>
      <c r="D21" s="265" t="s">
        <v>1382</v>
      </c>
      <c r="E21" s="163" t="s">
        <v>1443</v>
      </c>
      <c r="F21" s="137"/>
      <c r="G21" s="137"/>
      <c r="H21" s="137"/>
      <c r="I21" s="137"/>
      <c r="J21" s="137"/>
      <c r="K21" s="137"/>
      <c r="L21" s="137"/>
      <c r="M21" s="137"/>
      <c r="N21" s="137"/>
      <c r="O21" s="137"/>
      <c r="P21" s="137"/>
    </row>
    <row r="22" spans="1:16" s="136" customFormat="1" ht="24.95" customHeight="1">
      <c r="A22" s="264" t="s">
        <v>1440</v>
      </c>
      <c r="B22" s="163" t="s">
        <v>1444</v>
      </c>
      <c r="C22" s="130"/>
      <c r="D22" s="266" t="s">
        <v>1441</v>
      </c>
      <c r="E22" s="163" t="s">
        <v>1445</v>
      </c>
      <c r="F22" s="137"/>
      <c r="G22" s="137"/>
      <c r="H22" s="137"/>
      <c r="I22" s="137"/>
      <c r="J22" s="137"/>
      <c r="K22" s="137"/>
      <c r="L22" s="137"/>
      <c r="M22" s="137"/>
      <c r="N22" s="137"/>
      <c r="O22" s="137"/>
      <c r="P22" s="137"/>
    </row>
    <row r="23" spans="1:16" s="136" customFormat="1" ht="24.95" customHeight="1">
      <c r="A23" s="284" t="s">
        <v>1340</v>
      </c>
      <c r="B23" s="156" t="s">
        <v>1337</v>
      </c>
      <c r="C23" s="130"/>
      <c r="D23" s="284" t="s">
        <v>1341</v>
      </c>
      <c r="E23" s="163" t="s">
        <v>1343</v>
      </c>
      <c r="F23" s="137"/>
      <c r="G23" s="137"/>
      <c r="H23" s="137"/>
      <c r="I23" s="137"/>
      <c r="J23" s="137"/>
      <c r="K23" s="137"/>
      <c r="L23" s="137"/>
      <c r="M23" s="137"/>
      <c r="N23" s="137"/>
      <c r="O23" s="137"/>
      <c r="P23" s="137"/>
    </row>
    <row r="24" spans="1:16" s="136" customFormat="1" ht="24.95" customHeight="1">
      <c r="A24" s="284"/>
      <c r="B24" s="163" t="s">
        <v>1338</v>
      </c>
      <c r="C24" s="130"/>
      <c r="D24" s="284"/>
      <c r="E24" s="163" t="s">
        <v>1344</v>
      </c>
      <c r="F24" s="137"/>
      <c r="G24" s="137"/>
      <c r="H24" s="137"/>
      <c r="I24" s="137"/>
      <c r="J24" s="137"/>
      <c r="K24" s="137"/>
      <c r="L24" s="137"/>
      <c r="M24" s="137"/>
      <c r="N24" s="137"/>
      <c r="O24" s="137"/>
      <c r="P24" s="137"/>
    </row>
    <row r="25" spans="1:16" s="136" customFormat="1" ht="27" customHeight="1" thickBot="1">
      <c r="A25" s="285"/>
      <c r="B25" s="164" t="s">
        <v>1339</v>
      </c>
      <c r="C25" s="132"/>
      <c r="D25" s="285"/>
      <c r="E25" s="159" t="s">
        <v>1345</v>
      </c>
      <c r="F25" s="137"/>
      <c r="G25" s="137"/>
      <c r="H25" s="137"/>
      <c r="I25" s="137"/>
      <c r="J25" s="137"/>
      <c r="K25" s="137"/>
      <c r="L25" s="137"/>
      <c r="M25" s="137"/>
      <c r="N25" s="137"/>
      <c r="O25" s="137"/>
      <c r="P25" s="137"/>
    </row>
    <row r="26" spans="1:16" s="136" customFormat="1">
      <c r="B26" s="138"/>
      <c r="C26" s="153"/>
    </row>
    <row r="27" spans="1:16" ht="74.25" customHeight="1">
      <c r="B27" s="134" t="s">
        <v>1414</v>
      </c>
    </row>
  </sheetData>
  <sheetProtection selectLockedCells="1"/>
  <mergeCells count="17">
    <mergeCell ref="D6:E6"/>
    <mergeCell ref="A6:B6"/>
    <mergeCell ref="D10:E10"/>
    <mergeCell ref="A10:B10"/>
    <mergeCell ref="B1:E1"/>
    <mergeCell ref="A4:B4"/>
    <mergeCell ref="D4:E4"/>
    <mergeCell ref="A3:B3"/>
    <mergeCell ref="D3:E3"/>
    <mergeCell ref="A23:A25"/>
    <mergeCell ref="D23:D25"/>
    <mergeCell ref="A19:B19"/>
    <mergeCell ref="D19:E19"/>
    <mergeCell ref="A13:B13"/>
    <mergeCell ref="D13:E13"/>
    <mergeCell ref="D15:E15"/>
    <mergeCell ref="A15:B15"/>
  </mergeCells>
  <pageMargins left="0.70866141732283472" right="0.70866141732283472" top="0.74803149606299213" bottom="0.74803149606299213" header="0.31496062992125984" footer="0.31496062992125984"/>
  <pageSetup paperSize="9" scale="83" fitToHeight="0" orientation="portrait" r:id="rId1"/>
  <headerFooter>
    <oddFooter>&amp;L&amp;6T.PU.005 Supplier Self Assessment and Approval Form / T.Schneider / 16.12.2020&amp;R&amp;6&amp;A   &amp;P/&amp;N</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4CE9172-8ED9-4BCC-ABD7-65A16F5CDE07}">
          <x14:formula1>
            <xm:f>'Language table'!$B$11:$C$11</xm:f>
          </x14:formula1>
          <xm:sqref>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showGridLines="0" zoomScaleNormal="100" zoomScalePageLayoutView="110" workbookViewId="0">
      <selection activeCell="A57" sqref="A57:F57"/>
    </sheetView>
  </sheetViews>
  <sheetFormatPr baseColWidth="10" defaultColWidth="11.42578125" defaultRowHeight="12.75"/>
  <cols>
    <col min="1" max="1" width="15.140625" style="14" customWidth="1"/>
    <col min="2" max="2" width="11.42578125" style="14" customWidth="1"/>
    <col min="3" max="3" width="8" style="14" customWidth="1"/>
    <col min="4" max="5" width="10.140625" style="14" customWidth="1"/>
    <col min="6" max="6" width="1.5703125" style="14" customWidth="1"/>
    <col min="7" max="7" width="9.140625" style="14" customWidth="1"/>
    <col min="8" max="8" width="10.5703125" style="14" bestFit="1" customWidth="1"/>
    <col min="9" max="9" width="10.85546875" style="14" bestFit="1" customWidth="1"/>
    <col min="10" max="10" width="10.7109375" style="14" customWidth="1"/>
    <col min="11" max="11" width="19.42578125" style="14" customWidth="1"/>
    <col min="12" max="16384" width="11.42578125" style="14"/>
  </cols>
  <sheetData>
    <row r="1" spans="1:11" ht="42.75" customHeight="1" thickBot="1">
      <c r="A1" s="341" t="str">
        <f>HLOOKUP(Language,Translation,2)</f>
        <v>Empfehlungsbogen</v>
      </c>
      <c r="B1" s="342"/>
      <c r="C1" s="342"/>
      <c r="D1" s="342"/>
      <c r="E1" s="342"/>
      <c r="F1" s="342"/>
      <c r="G1" s="342"/>
      <c r="H1" s="342"/>
      <c r="I1" s="342"/>
      <c r="J1" s="342"/>
      <c r="K1" s="28"/>
    </row>
    <row r="2" spans="1:11" ht="8.1" customHeight="1">
      <c r="A2" s="174"/>
      <c r="B2" s="174"/>
      <c r="C2" s="174"/>
      <c r="D2" s="174"/>
      <c r="E2" s="174"/>
      <c r="F2" s="174"/>
      <c r="G2" s="174"/>
      <c r="H2" s="174"/>
      <c r="I2" s="174"/>
      <c r="J2" s="174"/>
      <c r="K2" s="174"/>
    </row>
    <row r="3" spans="1:11" s="172" customFormat="1" ht="50.1" customHeight="1">
      <c r="A3" s="378" t="str">
        <f>HLOOKUP(Language,Translation,4)</f>
        <v>1. Firmenprofil</v>
      </c>
      <c r="B3" s="378"/>
      <c r="C3" s="378"/>
      <c r="D3" s="378"/>
      <c r="E3" s="378"/>
      <c r="F3" s="378"/>
      <c r="G3" s="378"/>
      <c r="H3" s="378"/>
      <c r="I3" s="378"/>
      <c r="J3" s="378"/>
      <c r="K3" s="378"/>
    </row>
    <row r="4" spans="1:11" ht="13.5" customHeight="1">
      <c r="A4" s="346" t="str">
        <f>HLOOKUP(Language,Translation,5)&amp;" "&amp;HLOOKUP(Language,Translation,18)</f>
        <v>Firmenname (inkl. Rechtsform):</v>
      </c>
      <c r="B4" s="344"/>
      <c r="C4" s="344"/>
      <c r="D4" s="344"/>
      <c r="E4" s="344"/>
      <c r="F4" s="344"/>
      <c r="G4" s="344"/>
      <c r="H4" s="344"/>
      <c r="I4" s="344"/>
      <c r="J4" s="344"/>
      <c r="K4" s="345"/>
    </row>
    <row r="5" spans="1:11" ht="24.95" customHeight="1">
      <c r="A5" s="311"/>
      <c r="B5" s="312"/>
      <c r="C5" s="312"/>
      <c r="D5" s="312"/>
      <c r="E5" s="312"/>
      <c r="F5" s="312"/>
      <c r="G5" s="312"/>
      <c r="H5" s="312"/>
      <c r="I5" s="312"/>
      <c r="J5" s="312"/>
      <c r="K5" s="314"/>
    </row>
    <row r="6" spans="1:11" ht="13.5" customHeight="1">
      <c r="A6" s="304" t="str">
        <f>HLOOKUP(Language,Translation,19)</f>
        <v>Name des Firmeninhabers / Haupteigentümers:</v>
      </c>
      <c r="B6" s="305"/>
      <c r="C6" s="305"/>
      <c r="D6" s="305"/>
      <c r="E6" s="305"/>
      <c r="F6" s="305"/>
      <c r="G6" s="305"/>
      <c r="H6" s="305"/>
      <c r="I6" s="305"/>
      <c r="J6" s="305"/>
      <c r="K6" s="306"/>
    </row>
    <row r="7" spans="1:11" ht="24.95" customHeight="1">
      <c r="A7" s="311"/>
      <c r="B7" s="312"/>
      <c r="C7" s="312"/>
      <c r="D7" s="312"/>
      <c r="E7" s="312"/>
      <c r="F7" s="312"/>
      <c r="G7" s="312"/>
      <c r="H7" s="312"/>
      <c r="I7" s="312"/>
      <c r="J7" s="312"/>
      <c r="K7" s="314"/>
    </row>
    <row r="8" spans="1:11">
      <c r="A8" s="304" t="str">
        <f>HLOOKUP(Language,Translation,6)</f>
        <v>Adresse der Betriebsstätte:</v>
      </c>
      <c r="B8" s="305"/>
      <c r="C8" s="305"/>
      <c r="D8" s="305"/>
      <c r="E8" s="316"/>
      <c r="F8" s="343" t="str">
        <f>HLOOKUP(Language,Translation,17)&amp;" "&amp;HLOOKUP(Language,Translation,18)</f>
        <v>Vorheriger / Historischer Firmenname (inkl. Rechtsform):</v>
      </c>
      <c r="G8" s="344"/>
      <c r="H8" s="344"/>
      <c r="I8" s="344"/>
      <c r="J8" s="344"/>
      <c r="K8" s="345"/>
    </row>
    <row r="9" spans="1:11" ht="24.95" customHeight="1">
      <c r="A9" s="311"/>
      <c r="B9" s="312"/>
      <c r="C9" s="312"/>
      <c r="D9" s="312"/>
      <c r="E9" s="313"/>
      <c r="F9" s="315"/>
      <c r="G9" s="312"/>
      <c r="H9" s="312"/>
      <c r="I9" s="312"/>
      <c r="J9" s="312"/>
      <c r="K9" s="314"/>
    </row>
    <row r="10" spans="1:11">
      <c r="A10" s="304" t="str">
        <f>HLOOKUP(Language,Translation,7)</f>
        <v>PLZ, Stadt, Bundesland:</v>
      </c>
      <c r="B10" s="305"/>
      <c r="C10" s="305"/>
      <c r="D10" s="305"/>
      <c r="E10" s="316"/>
      <c r="F10" s="307" t="str">
        <f>HLOOKUP(Language,Translation,196)&amp;":"</f>
        <v>Kontaktperson für die Empfehlung:</v>
      </c>
      <c r="G10" s="305"/>
      <c r="H10" s="305"/>
      <c r="I10" s="305"/>
      <c r="J10" s="305"/>
      <c r="K10" s="306"/>
    </row>
    <row r="11" spans="1:11" ht="24.95" customHeight="1">
      <c r="A11" s="311"/>
      <c r="B11" s="312"/>
      <c r="C11" s="312"/>
      <c r="D11" s="312"/>
      <c r="E11" s="313"/>
      <c r="F11" s="315"/>
      <c r="G11" s="312"/>
      <c r="H11" s="312"/>
      <c r="I11" s="312"/>
      <c r="J11" s="312"/>
      <c r="K11" s="314"/>
    </row>
    <row r="12" spans="1:11" ht="13.5" customHeight="1">
      <c r="A12" s="304" t="str">
        <f>HLOOKUP(Language,Translation,8)</f>
        <v>Land:</v>
      </c>
      <c r="B12" s="305"/>
      <c r="C12" s="305"/>
      <c r="D12" s="305"/>
      <c r="E12" s="316"/>
      <c r="F12" s="307" t="str">
        <f>HLOOKUP(Language,Translation,'Language table'!A281)</f>
        <v>Email Adresse Kontaktperson:</v>
      </c>
      <c r="G12" s="305"/>
      <c r="H12" s="305"/>
      <c r="I12" s="305"/>
      <c r="J12" s="305"/>
      <c r="K12" s="306"/>
    </row>
    <row r="13" spans="1:11" ht="24.95" customHeight="1">
      <c r="A13" s="311"/>
      <c r="B13" s="312"/>
      <c r="C13" s="312"/>
      <c r="D13" s="312"/>
      <c r="E13" s="313"/>
      <c r="F13" s="315"/>
      <c r="G13" s="312"/>
      <c r="H13" s="312"/>
      <c r="I13" s="312"/>
      <c r="J13" s="312"/>
      <c r="K13" s="314"/>
    </row>
    <row r="14" spans="1:11">
      <c r="A14" s="304" t="str">
        <f>HLOOKUP(Language,Translation,9)</f>
        <v>Internetseite (URL):</v>
      </c>
      <c r="B14" s="305"/>
      <c r="C14" s="305"/>
      <c r="D14" s="305"/>
      <c r="E14" s="316"/>
      <c r="F14" s="307" t="str">
        <f>HLOOKUP(Language,Translation,269)</f>
        <v>Kommunikationssprache:</v>
      </c>
      <c r="G14" s="305"/>
      <c r="H14" s="305"/>
      <c r="I14" s="305"/>
      <c r="J14" s="305"/>
      <c r="K14" s="306"/>
    </row>
    <row r="15" spans="1:11" ht="24.95" customHeight="1">
      <c r="A15" s="311"/>
      <c r="B15" s="312"/>
      <c r="C15" s="312"/>
      <c r="D15" s="312"/>
      <c r="E15" s="313"/>
      <c r="F15" s="315"/>
      <c r="G15" s="312"/>
      <c r="H15" s="312"/>
      <c r="I15" s="312"/>
      <c r="J15" s="312"/>
      <c r="K15" s="314"/>
    </row>
    <row r="16" spans="1:11">
      <c r="A16" s="304" t="str">
        <f>HLOOKUP(Language,Translation,268)</f>
        <v>Steuernummer:</v>
      </c>
      <c r="B16" s="305"/>
      <c r="C16" s="305"/>
      <c r="D16" s="305"/>
      <c r="E16" s="316"/>
      <c r="F16" s="307" t="str">
        <f>HLOOKUP(Language,Translation,272)</f>
        <v>Telefon Kontaktperson:</v>
      </c>
      <c r="G16" s="305"/>
      <c r="H16" s="305"/>
      <c r="I16" s="305"/>
      <c r="J16" s="305"/>
      <c r="K16" s="306"/>
    </row>
    <row r="17" spans="1:11" ht="24.95" customHeight="1">
      <c r="A17" s="311"/>
      <c r="B17" s="312"/>
      <c r="C17" s="312"/>
      <c r="D17" s="312"/>
      <c r="E17" s="313"/>
      <c r="F17" s="315"/>
      <c r="G17" s="312"/>
      <c r="H17" s="312"/>
      <c r="I17" s="312"/>
      <c r="J17" s="312"/>
      <c r="K17" s="314"/>
    </row>
    <row r="18" spans="1:11">
      <c r="A18" s="304" t="str">
        <f>HLOOKUP(Language,Translation,10)</f>
        <v>Umsatzsteuer-Identikationsnummer:</v>
      </c>
      <c r="B18" s="305"/>
      <c r="C18" s="305"/>
      <c r="D18" s="305"/>
      <c r="E18" s="316"/>
      <c r="F18" s="307" t="str">
        <f>HLOOKUP(Language,Translation,14)</f>
        <v>Firmen Telefon-Nr.:</v>
      </c>
      <c r="G18" s="305"/>
      <c r="H18" s="305"/>
      <c r="I18" s="305"/>
      <c r="J18" s="305"/>
      <c r="K18" s="306"/>
    </row>
    <row r="19" spans="1:11" ht="24.95" customHeight="1">
      <c r="A19" s="311"/>
      <c r="B19" s="312"/>
      <c r="C19" s="312"/>
      <c r="D19" s="312"/>
      <c r="E19" s="313"/>
      <c r="F19" s="315"/>
      <c r="G19" s="312"/>
      <c r="H19" s="312"/>
      <c r="I19" s="312"/>
      <c r="J19" s="312"/>
      <c r="K19" s="314"/>
    </row>
    <row r="20" spans="1:11" ht="13.5" customHeight="1">
      <c r="A20" s="308" t="str">
        <f>HLOOKUP(Language,Translation,11)</f>
        <v>DUNS-Nummer (wenn vorhanden):</v>
      </c>
      <c r="B20" s="309"/>
      <c r="C20" s="309"/>
      <c r="D20" s="309"/>
      <c r="E20" s="310"/>
      <c r="F20" s="307" t="str">
        <f>HLOOKUP(Language,Translation,16)</f>
        <v>Dauerhaufte Email Adresse für generelle Kommunikation (nicht info@):</v>
      </c>
      <c r="G20" s="305"/>
      <c r="H20" s="305"/>
      <c r="I20" s="305"/>
      <c r="J20" s="305"/>
      <c r="K20" s="306"/>
    </row>
    <row r="21" spans="1:11" ht="24.95" customHeight="1">
      <c r="A21" s="311"/>
      <c r="B21" s="312"/>
      <c r="C21" s="312"/>
      <c r="D21" s="312"/>
      <c r="E21" s="313"/>
      <c r="F21" s="315"/>
      <c r="G21" s="312"/>
      <c r="H21" s="312"/>
      <c r="I21" s="312"/>
      <c r="J21" s="312"/>
      <c r="K21" s="314"/>
    </row>
    <row r="22" spans="1:11">
      <c r="A22" s="308" t="str">
        <f>HLOOKUP(Language,Translation,12)</f>
        <v>Handelsregisternummer:</v>
      </c>
      <c r="B22" s="309"/>
      <c r="C22" s="309"/>
      <c r="D22" s="309"/>
      <c r="E22" s="358" t="str">
        <f>HLOOKUP(Language,Translation,249)</f>
        <v>(Bitte fügen Sie einen aktuellen Handelsregisterauszug (PDF) bei)</v>
      </c>
      <c r="F22" s="358"/>
      <c r="G22" s="358"/>
      <c r="H22" s="358"/>
      <c r="I22" s="358"/>
      <c r="J22" s="358"/>
      <c r="K22" s="359"/>
    </row>
    <row r="23" spans="1:11" ht="24.95" customHeight="1" thickBot="1">
      <c r="A23" s="301"/>
      <c r="B23" s="302"/>
      <c r="C23" s="302"/>
      <c r="D23" s="302"/>
      <c r="E23" s="302"/>
      <c r="F23" s="302"/>
      <c r="G23" s="302"/>
      <c r="H23" s="302"/>
      <c r="I23" s="302"/>
      <c r="J23" s="302"/>
      <c r="K23" s="303"/>
    </row>
    <row r="24" spans="1:11" ht="8.1" customHeight="1" thickBot="1">
      <c r="A24" s="29"/>
      <c r="B24" s="29"/>
      <c r="C24" s="29"/>
      <c r="D24" s="29"/>
      <c r="E24" s="29"/>
      <c r="F24" s="29"/>
      <c r="G24" s="29"/>
      <c r="H24" s="29"/>
      <c r="I24" s="29"/>
      <c r="J24" s="29"/>
      <c r="K24" s="29"/>
    </row>
    <row r="25" spans="1:11" ht="30" customHeight="1" thickBot="1">
      <c r="A25" s="317" t="str">
        <f>HLOOKUP(Language,Translation,51)</f>
        <v>EDI</v>
      </c>
      <c r="B25" s="318"/>
      <c r="C25" s="318"/>
      <c r="D25" s="318"/>
      <c r="E25" s="318"/>
      <c r="F25" s="318"/>
      <c r="G25" s="318"/>
      <c r="H25" s="318"/>
      <c r="I25" s="318"/>
      <c r="J25" s="318"/>
      <c r="K25" s="319"/>
    </row>
    <row r="26" spans="1:11" ht="18.75" customHeight="1">
      <c r="A26" s="385" t="str">
        <f>HLOOKUP(Language,Translation,52)</f>
        <v>EDI Verbindung vorhanden?</v>
      </c>
      <c r="B26" s="386"/>
      <c r="C26" s="386"/>
      <c r="D26" s="386"/>
      <c r="E26" s="386"/>
      <c r="F26" s="386"/>
      <c r="G26" s="386"/>
      <c r="H26" s="386"/>
      <c r="I26" s="387"/>
      <c r="J26" s="388" t="s">
        <v>113</v>
      </c>
      <c r="K26" s="389"/>
    </row>
    <row r="27" spans="1:11" ht="18.75" customHeight="1" thickBot="1">
      <c r="A27" s="390" t="str">
        <f>HLOOKUP(Language,Translation,53)</f>
        <v>Kontaktperson für EDI:</v>
      </c>
      <c r="B27" s="391"/>
      <c r="C27" s="392"/>
      <c r="D27" s="393"/>
      <c r="E27" s="393"/>
      <c r="F27" s="393"/>
      <c r="G27" s="393"/>
      <c r="H27" s="393"/>
      <c r="I27" s="393"/>
      <c r="J27" s="393"/>
      <c r="K27" s="394"/>
    </row>
    <row r="28" spans="1:11" ht="8.1" customHeight="1">
      <c r="A28" s="126"/>
      <c r="B28" s="126"/>
      <c r="C28" s="126"/>
      <c r="D28" s="126"/>
      <c r="E28" s="126"/>
      <c r="F28" s="126"/>
      <c r="G28" s="126"/>
      <c r="H28" s="126"/>
      <c r="I28" s="126"/>
      <c r="J28" s="126"/>
      <c r="K28" s="126"/>
    </row>
    <row r="29" spans="1:11" ht="8.1" customHeight="1">
      <c r="A29" s="126"/>
      <c r="B29" s="126"/>
      <c r="C29" s="126"/>
      <c r="D29" s="126"/>
      <c r="E29" s="126"/>
      <c r="F29" s="126"/>
      <c r="G29" s="126"/>
      <c r="H29" s="126"/>
      <c r="I29" s="126"/>
      <c r="J29" s="126"/>
      <c r="K29" s="126"/>
    </row>
    <row r="30" spans="1:11" ht="8.1" customHeight="1">
      <c r="A30" s="126"/>
      <c r="B30" s="126"/>
      <c r="C30" s="126"/>
      <c r="D30" s="126"/>
      <c r="E30" s="126"/>
      <c r="F30" s="126"/>
      <c r="G30" s="126"/>
      <c r="H30" s="126"/>
      <c r="I30" s="126"/>
      <c r="J30" s="126"/>
      <c r="K30" s="126"/>
    </row>
    <row r="31" spans="1:11" ht="8.1" customHeight="1" thickBot="1">
      <c r="A31" s="126"/>
      <c r="B31" s="126"/>
      <c r="C31" s="126"/>
      <c r="D31" s="126"/>
      <c r="E31" s="126"/>
      <c r="F31" s="126"/>
      <c r="G31" s="126"/>
      <c r="H31" s="126"/>
      <c r="I31" s="126"/>
      <c r="J31" s="126"/>
      <c r="K31" s="126"/>
    </row>
    <row r="32" spans="1:11" s="173" customFormat="1" ht="50.1" customHeight="1" thickBot="1">
      <c r="A32" s="379" t="str">
        <f>HLOOKUP(Language,Translation,274)</f>
        <v>2. Portfolio</v>
      </c>
      <c r="B32" s="380"/>
      <c r="C32" s="380"/>
      <c r="D32" s="380"/>
      <c r="E32" s="380"/>
      <c r="F32" s="380"/>
      <c r="G32" s="380"/>
      <c r="H32" s="380"/>
      <c r="I32" s="380"/>
      <c r="J32" s="380"/>
      <c r="K32" s="381"/>
    </row>
    <row r="33" spans="1:11" ht="8.1" customHeight="1">
      <c r="A33" s="126"/>
      <c r="B33" s="126"/>
      <c r="C33" s="126"/>
      <c r="D33" s="126"/>
      <c r="E33" s="126"/>
      <c r="F33" s="126"/>
      <c r="G33" s="126"/>
      <c r="H33" s="126"/>
      <c r="I33" s="126"/>
      <c r="J33" s="126"/>
      <c r="K33" s="126"/>
    </row>
    <row r="34" spans="1:11" ht="8.1" customHeight="1" thickBot="1">
      <c r="A34" s="126"/>
      <c r="B34" s="126"/>
      <c r="C34" s="126"/>
      <c r="D34" s="126"/>
      <c r="E34" s="126"/>
      <c r="F34" s="126"/>
      <c r="G34" s="126"/>
      <c r="H34" s="126"/>
      <c r="I34" s="126"/>
      <c r="J34" s="126"/>
      <c r="K34" s="126"/>
    </row>
    <row r="35" spans="1:11" ht="30" customHeight="1" thickBot="1">
      <c r="A35" s="317" t="str">
        <f>HLOOKUP(Language,Translation,43)</f>
        <v>Branchen, die beliefert werden</v>
      </c>
      <c r="B35" s="318"/>
      <c r="C35" s="318"/>
      <c r="D35" s="318"/>
      <c r="E35" s="319"/>
      <c r="F35" s="36"/>
      <c r="G35" s="317" t="str">
        <f>HLOOKUP(Language,Translation,44)</f>
        <v>Hauptkundengruppe</v>
      </c>
      <c r="H35" s="318"/>
      <c r="I35" s="318"/>
      <c r="J35" s="318"/>
      <c r="K35" s="319"/>
    </row>
    <row r="36" spans="1:11" ht="18.75" customHeight="1">
      <c r="A36" s="232" t="str">
        <f>HLOOKUP(Language,Translation,45)</f>
        <v>Automotive:</v>
      </c>
      <c r="B36" s="354"/>
      <c r="C36" s="355"/>
      <c r="D36" s="356" t="str">
        <f>HLOOKUP(Language,Translation,47)</f>
        <v>%-Anteil von Umsätzen</v>
      </c>
      <c r="E36" s="357"/>
      <c r="F36" s="32"/>
      <c r="G36" s="352"/>
      <c r="H36" s="353"/>
      <c r="I36" s="353"/>
      <c r="J36" s="175"/>
      <c r="K36" s="234" t="str">
        <f>HLOOKUP(Language,Translation,47)</f>
        <v>%-Anteil von Umsätzen</v>
      </c>
    </row>
    <row r="37" spans="1:11" ht="18.75" customHeight="1">
      <c r="A37" s="233" t="str">
        <f>HLOOKUP(Language,Translation,46)</f>
        <v>Nutzfahrzeuge:</v>
      </c>
      <c r="B37" s="333"/>
      <c r="C37" s="334"/>
      <c r="D37" s="329" t="str">
        <f>HLOOKUP(Language,Translation,47)</f>
        <v>%-Anteil von Umsätzen</v>
      </c>
      <c r="E37" s="330"/>
      <c r="F37" s="19"/>
      <c r="G37" s="320"/>
      <c r="H37" s="321"/>
      <c r="I37" s="321"/>
      <c r="J37" s="176"/>
      <c r="K37" s="235" t="str">
        <f>HLOOKUP(Language,Translation,47)</f>
        <v>%-Anteil von Umsätzen</v>
      </c>
    </row>
    <row r="38" spans="1:11" ht="18.75" customHeight="1">
      <c r="A38" s="178"/>
      <c r="B38" s="333"/>
      <c r="C38" s="334"/>
      <c r="D38" s="329" t="str">
        <f>HLOOKUP(Language,Translation,47)</f>
        <v>%-Anteil von Umsätzen</v>
      </c>
      <c r="E38" s="330"/>
      <c r="F38" s="19"/>
      <c r="G38" s="320"/>
      <c r="H38" s="321"/>
      <c r="I38" s="321"/>
      <c r="J38" s="176"/>
      <c r="K38" s="235" t="str">
        <f>HLOOKUP(Language,Translation,47)</f>
        <v>%-Anteil von Umsätzen</v>
      </c>
    </row>
    <row r="39" spans="1:11" ht="18.75" customHeight="1" thickBot="1">
      <c r="A39" s="179"/>
      <c r="B39" s="335"/>
      <c r="C39" s="336"/>
      <c r="D39" s="331" t="str">
        <f>HLOOKUP(Language,Translation,47)</f>
        <v>%-Anteil von Umsätzen</v>
      </c>
      <c r="E39" s="332"/>
      <c r="F39" s="19"/>
      <c r="G39" s="322"/>
      <c r="H39" s="323"/>
      <c r="I39" s="323"/>
      <c r="J39" s="177"/>
      <c r="K39" s="236" t="str">
        <f>HLOOKUP(Language,Translation,47)</f>
        <v>%-Anteil von Umsätzen</v>
      </c>
    </row>
    <row r="40" spans="1:11" ht="8.25" customHeight="1" thickBot="1">
      <c r="D40" s="237"/>
      <c r="E40" s="237"/>
    </row>
    <row r="41" spans="1:11" ht="30" customHeight="1" thickBot="1">
      <c r="A41" s="317" t="str">
        <f>HLOOKUP(Language,Translation,48)</f>
        <v>Kernkompetenzen</v>
      </c>
      <c r="B41" s="318"/>
      <c r="C41" s="318"/>
      <c r="D41" s="318"/>
      <c r="E41" s="318"/>
      <c r="F41" s="318"/>
      <c r="G41" s="318"/>
      <c r="H41" s="318"/>
      <c r="I41" s="318"/>
      <c r="J41" s="318"/>
      <c r="K41" s="319"/>
    </row>
    <row r="42" spans="1:11" ht="14.25" customHeight="1">
      <c r="A42" s="324" t="str">
        <f>HLOOKUP(Language,Translation,49)</f>
        <v>Kompetenz:</v>
      </c>
      <c r="B42" s="325"/>
      <c r="C42" s="326" t="str">
        <f>HLOOKUP(Language,Translation,50)</f>
        <v>Kurzbeschreibung:</v>
      </c>
      <c r="D42" s="327"/>
      <c r="E42" s="327"/>
      <c r="F42" s="327"/>
      <c r="G42" s="327"/>
      <c r="H42" s="327"/>
      <c r="I42" s="327"/>
      <c r="J42" s="327"/>
      <c r="K42" s="328"/>
    </row>
    <row r="43" spans="1:11" ht="18.75" customHeight="1">
      <c r="A43" s="347"/>
      <c r="B43" s="348"/>
      <c r="C43" s="349"/>
      <c r="D43" s="350"/>
      <c r="E43" s="350"/>
      <c r="F43" s="350"/>
      <c r="G43" s="350"/>
      <c r="H43" s="350"/>
      <c r="I43" s="350"/>
      <c r="J43" s="350"/>
      <c r="K43" s="351"/>
    </row>
    <row r="44" spans="1:11" ht="18.75" customHeight="1">
      <c r="A44" s="347"/>
      <c r="B44" s="348"/>
      <c r="C44" s="349"/>
      <c r="D44" s="350"/>
      <c r="E44" s="350"/>
      <c r="F44" s="350"/>
      <c r="G44" s="350"/>
      <c r="H44" s="350"/>
      <c r="I44" s="350"/>
      <c r="J44" s="350"/>
      <c r="K44" s="351"/>
    </row>
    <row r="45" spans="1:11" ht="18.75" customHeight="1">
      <c r="A45" s="347"/>
      <c r="B45" s="348"/>
      <c r="C45" s="349"/>
      <c r="D45" s="350"/>
      <c r="E45" s="350"/>
      <c r="F45" s="350"/>
      <c r="G45" s="350"/>
      <c r="H45" s="350"/>
      <c r="I45" s="350"/>
      <c r="J45" s="350"/>
      <c r="K45" s="351"/>
    </row>
    <row r="46" spans="1:11" ht="18.75" customHeight="1">
      <c r="A46" s="347"/>
      <c r="B46" s="348"/>
      <c r="C46" s="349"/>
      <c r="D46" s="350"/>
      <c r="E46" s="350"/>
      <c r="F46" s="350"/>
      <c r="G46" s="350"/>
      <c r="H46" s="350"/>
      <c r="I46" s="350"/>
      <c r="J46" s="350"/>
      <c r="K46" s="351"/>
    </row>
    <row r="47" spans="1:11" ht="8.1" customHeight="1" thickBot="1">
      <c r="A47" s="30"/>
      <c r="B47" s="30"/>
      <c r="C47" s="30"/>
      <c r="D47" s="30"/>
      <c r="E47" s="30"/>
    </row>
    <row r="48" spans="1:11" ht="30" customHeight="1" thickBot="1">
      <c r="A48" s="400" t="str">
        <f>HLOOKUP(Language,Translation,33)</f>
        <v>Unternehmensumsatz / Investitionen (letzte 3 Jahre)</v>
      </c>
      <c r="B48" s="401"/>
      <c r="C48" s="401"/>
      <c r="D48" s="401"/>
      <c r="E48" s="402"/>
      <c r="G48" s="397" t="str">
        <f>HLOOKUP(Language,Translation,34)</f>
        <v>Anzahl der Mitarbeiter des Unternehmens in Bereichen (letzte 3 Jahre)</v>
      </c>
      <c r="H48" s="398"/>
      <c r="I48" s="398"/>
      <c r="J48" s="398"/>
      <c r="K48" s="399"/>
    </row>
    <row r="49" spans="1:11" ht="15" customHeight="1">
      <c r="A49" s="31" t="str">
        <f>HLOOKUP(Language,Translation,35)</f>
        <v>Jahr</v>
      </c>
      <c r="B49" s="337" t="str">
        <f>HLOOKUP(Language,Translation,36)</f>
        <v>*Umsätze</v>
      </c>
      <c r="C49" s="338"/>
      <c r="D49" s="369" t="str">
        <f>HLOOKUP(Language,Translation,37)</f>
        <v>*Investitionen</v>
      </c>
      <c r="E49" s="370"/>
      <c r="F49" s="32"/>
      <c r="G49" s="33" t="str">
        <f>HLOOKUP(Language,Translation,35)</f>
        <v>Jahr</v>
      </c>
      <c r="H49" s="147" t="str">
        <f>HLOOKUP(Language,Translation,39)</f>
        <v>Produktion</v>
      </c>
      <c r="I49" s="146" t="str">
        <f>HLOOKUP(Language,Translation,40)</f>
        <v>Verwaltung</v>
      </c>
      <c r="J49" s="146" t="str">
        <f>HLOOKUP(Language,Translation,41)</f>
        <v>Qualitätsabt.</v>
      </c>
      <c r="K49" s="34" t="str">
        <f>HLOOKUP(Language,Translation,42)</f>
        <v>Kommentare</v>
      </c>
    </row>
    <row r="50" spans="1:11" ht="18.75" customHeight="1">
      <c r="A50" s="180"/>
      <c r="B50" s="339"/>
      <c r="C50" s="340"/>
      <c r="D50" s="395"/>
      <c r="E50" s="396"/>
      <c r="F50" s="19"/>
      <c r="G50" s="182"/>
      <c r="H50" s="183"/>
      <c r="I50" s="176"/>
      <c r="J50" s="176"/>
      <c r="K50" s="184"/>
    </row>
    <row r="51" spans="1:11" ht="18.75" customHeight="1">
      <c r="A51" s="180"/>
      <c r="B51" s="339"/>
      <c r="C51" s="340"/>
      <c r="D51" s="395"/>
      <c r="E51" s="396"/>
      <c r="F51" s="19"/>
      <c r="G51" s="182"/>
      <c r="H51" s="183"/>
      <c r="I51" s="176"/>
      <c r="J51" s="176"/>
      <c r="K51" s="184"/>
    </row>
    <row r="52" spans="1:11" ht="18.75" customHeight="1" thickBot="1">
      <c r="A52" s="181"/>
      <c r="B52" s="374"/>
      <c r="C52" s="375"/>
      <c r="D52" s="376"/>
      <c r="E52" s="377"/>
      <c r="F52" s="19"/>
      <c r="G52" s="185"/>
      <c r="H52" s="186"/>
      <c r="I52" s="177"/>
      <c r="J52" s="177"/>
      <c r="K52" s="187"/>
    </row>
    <row r="53" spans="1:11" ht="22.5" customHeight="1">
      <c r="A53" s="35" t="str">
        <f>HLOOKUP(Language,Translation,38)</f>
        <v>*Bitte geben Sie die Währung an</v>
      </c>
      <c r="B53" s="30"/>
      <c r="C53" s="30"/>
      <c r="D53" s="30"/>
      <c r="E53" s="30"/>
    </row>
    <row r="54" spans="1:11" ht="8.25" customHeight="1"/>
    <row r="55" spans="1:11" ht="40.5" customHeight="1" thickBot="1">
      <c r="A55" s="382" t="str">
        <f>HLOOKUP(Language,Translation,275)</f>
        <v>Bitte deklarieren Sie Ihr Portfolio über das Drobdown-Menü. Mindestens eine Auswahl ist verpflichtend. Nur so können wir Ihre Empfehlung richtig zuordnen. Nicht ausgefüllte Technologie-Klassifikationen führen zur Löschung.</v>
      </c>
      <c r="B55" s="383"/>
      <c r="C55" s="383"/>
      <c r="D55" s="383"/>
      <c r="E55" s="383"/>
      <c r="F55" s="383"/>
      <c r="G55" s="383"/>
      <c r="H55" s="383"/>
      <c r="I55" s="383"/>
      <c r="J55" s="383"/>
      <c r="K55" s="384"/>
    </row>
    <row r="56" spans="1:11" s="145" customFormat="1" ht="24" customHeight="1">
      <c r="A56" s="371" t="str">
        <f>"1."&amp;" "&amp;HLOOKUP(Language,Translation,273)</f>
        <v>1. Produkt (Technologieklasse)</v>
      </c>
      <c r="B56" s="372"/>
      <c r="C56" s="372"/>
      <c r="D56" s="372"/>
      <c r="E56" s="372"/>
      <c r="F56" s="372"/>
      <c r="G56" s="372" t="str">
        <f>"3."&amp;" "&amp;HLOOKUP(Language,Translation,273)</f>
        <v>3. Produkt (Technologieklasse)</v>
      </c>
      <c r="H56" s="372"/>
      <c r="I56" s="372"/>
      <c r="J56" s="372"/>
      <c r="K56" s="373"/>
    </row>
    <row r="57" spans="1:11" s="149" customFormat="1" ht="24" customHeight="1">
      <c r="A57" s="360" t="s">
        <v>113</v>
      </c>
      <c r="B57" s="361"/>
      <c r="C57" s="361"/>
      <c r="D57" s="361"/>
      <c r="E57" s="361"/>
      <c r="F57" s="361"/>
      <c r="G57" s="361" t="s">
        <v>113</v>
      </c>
      <c r="H57" s="361"/>
      <c r="I57" s="361"/>
      <c r="J57" s="361"/>
      <c r="K57" s="367"/>
    </row>
    <row r="58" spans="1:11" s="145" customFormat="1" ht="24" customHeight="1">
      <c r="A58" s="362" t="str">
        <f>"2."&amp;" "&amp;HLOOKUP(Language,Translation,273)</f>
        <v>2. Produkt (Technologieklasse)</v>
      </c>
      <c r="B58" s="363"/>
      <c r="C58" s="363"/>
      <c r="D58" s="363"/>
      <c r="E58" s="363"/>
      <c r="F58" s="363"/>
      <c r="G58" s="363" t="str">
        <f>"4."&amp;" "&amp;HLOOKUP(Language,Translation,273)</f>
        <v>4. Produkt (Technologieklasse)</v>
      </c>
      <c r="H58" s="363"/>
      <c r="I58" s="363"/>
      <c r="J58" s="363"/>
      <c r="K58" s="366"/>
    </row>
    <row r="59" spans="1:11" s="166" customFormat="1" ht="24" customHeight="1" thickBot="1">
      <c r="A59" s="364" t="s">
        <v>113</v>
      </c>
      <c r="B59" s="365"/>
      <c r="C59" s="365"/>
      <c r="D59" s="365"/>
      <c r="E59" s="365"/>
      <c r="F59" s="365"/>
      <c r="G59" s="365" t="s">
        <v>113</v>
      </c>
      <c r="H59" s="365"/>
      <c r="I59" s="365"/>
      <c r="J59" s="365"/>
      <c r="K59" s="368"/>
    </row>
    <row r="60" spans="1:11">
      <c r="D60" s="165"/>
    </row>
  </sheetData>
  <sheetProtection selectLockedCells="1"/>
  <mergeCells count="87">
    <mergeCell ref="A3:K3"/>
    <mergeCell ref="A32:K32"/>
    <mergeCell ref="A55:K55"/>
    <mergeCell ref="A25:K25"/>
    <mergeCell ref="A26:I26"/>
    <mergeCell ref="J26:K26"/>
    <mergeCell ref="A27:B27"/>
    <mergeCell ref="C27:K27"/>
    <mergeCell ref="A19:E19"/>
    <mergeCell ref="F19:K19"/>
    <mergeCell ref="A18:E18"/>
    <mergeCell ref="D50:E50"/>
    <mergeCell ref="D51:E51"/>
    <mergeCell ref="G48:K48"/>
    <mergeCell ref="A48:E48"/>
    <mergeCell ref="F21:K21"/>
    <mergeCell ref="A22:D22"/>
    <mergeCell ref="E22:K22"/>
    <mergeCell ref="A57:F57"/>
    <mergeCell ref="A58:F58"/>
    <mergeCell ref="A59:F59"/>
    <mergeCell ref="G58:K58"/>
    <mergeCell ref="G57:K57"/>
    <mergeCell ref="G59:K59"/>
    <mergeCell ref="B51:C51"/>
    <mergeCell ref="D49:E49"/>
    <mergeCell ref="A44:B44"/>
    <mergeCell ref="C44:K44"/>
    <mergeCell ref="A56:F56"/>
    <mergeCell ref="G56:K56"/>
    <mergeCell ref="B52:C52"/>
    <mergeCell ref="D52:E52"/>
    <mergeCell ref="A46:B46"/>
    <mergeCell ref="C46:K46"/>
    <mergeCell ref="B37:C37"/>
    <mergeCell ref="G36:I36"/>
    <mergeCell ref="G37:I37"/>
    <mergeCell ref="B36:C36"/>
    <mergeCell ref="D36:E36"/>
    <mergeCell ref="D37:E37"/>
    <mergeCell ref="A45:B45"/>
    <mergeCell ref="C45:K45"/>
    <mergeCell ref="A43:B43"/>
    <mergeCell ref="C43:K43"/>
    <mergeCell ref="B49:C49"/>
    <mergeCell ref="B50:C50"/>
    <mergeCell ref="A1:J1"/>
    <mergeCell ref="F16:K16"/>
    <mergeCell ref="F8:K8"/>
    <mergeCell ref="F9:K9"/>
    <mergeCell ref="A4:K4"/>
    <mergeCell ref="A5:K5"/>
    <mergeCell ref="F10:K10"/>
    <mergeCell ref="A12:E12"/>
    <mergeCell ref="F12:K12"/>
    <mergeCell ref="A13:E13"/>
    <mergeCell ref="F13:K13"/>
    <mergeCell ref="A14:E14"/>
    <mergeCell ref="A9:E9"/>
    <mergeCell ref="A8:E8"/>
    <mergeCell ref="A35:E35"/>
    <mergeCell ref="G35:K35"/>
    <mergeCell ref="G38:I38"/>
    <mergeCell ref="G39:I39"/>
    <mergeCell ref="A42:B42"/>
    <mergeCell ref="C42:K42"/>
    <mergeCell ref="D38:E38"/>
    <mergeCell ref="D39:E39"/>
    <mergeCell ref="A41:K41"/>
    <mergeCell ref="B38:C38"/>
    <mergeCell ref="B39:C39"/>
    <mergeCell ref="A23:K23"/>
    <mergeCell ref="A6:K6"/>
    <mergeCell ref="F18:K18"/>
    <mergeCell ref="A20:E20"/>
    <mergeCell ref="F20:K20"/>
    <mergeCell ref="A21:E21"/>
    <mergeCell ref="A7:K7"/>
    <mergeCell ref="A11:E11"/>
    <mergeCell ref="A17:E17"/>
    <mergeCell ref="F17:K17"/>
    <mergeCell ref="A16:E16"/>
    <mergeCell ref="F14:K14"/>
    <mergeCell ref="A15:E15"/>
    <mergeCell ref="F15:K15"/>
    <mergeCell ref="A10:E10"/>
    <mergeCell ref="F11:K11"/>
  </mergeCells>
  <phoneticPr fontId="2" type="noConversion"/>
  <conditionalFormatting sqref="A23 A19:K19 A17:K17 A15:K15 A11:K11 A9:K9 A50:E52 G50:K52 A38:A39 B36:C39 G36:J39 A5:K5 A6:A7">
    <cfRule type="containsBlanks" dxfId="151" priority="16">
      <formula>LEN(TRIM(A5))=0</formula>
    </cfRule>
  </conditionalFormatting>
  <conditionalFormatting sqref="A43:K46">
    <cfRule type="containsBlanks" dxfId="150" priority="17">
      <formula>LEN(TRIM(A43))=0</formula>
    </cfRule>
  </conditionalFormatting>
  <conditionalFormatting sqref="A21:K21">
    <cfRule type="containsBlanks" dxfId="149" priority="10">
      <formula>LEN(TRIM(A21))=0</formula>
    </cfRule>
  </conditionalFormatting>
  <conditionalFormatting sqref="A13:K13">
    <cfRule type="containsBlanks" dxfId="148" priority="9">
      <formula>LEN(TRIM(A13))=0</formula>
    </cfRule>
  </conditionalFormatting>
  <conditionalFormatting sqref="C27">
    <cfRule type="containsBlanks" dxfId="147" priority="2">
      <formula>LEN(TRIM(C27))=0</formula>
    </cfRule>
  </conditionalFormatting>
  <dataValidations count="3">
    <dataValidation type="list" allowBlank="1" showInputMessage="1" showErrorMessage="1" sqref="J26:K26" xr:uid="{20CDA3D8-33DE-44DC-B6E9-DC6DA64E13BE}">
      <formula1>Selection</formula1>
    </dataValidation>
    <dataValidation type="list" allowBlank="1" showInputMessage="1" showErrorMessage="1" sqref="G59" xr:uid="{325E0A31-C756-404C-83FA-526448859030}">
      <formula1>VendorClass</formula1>
    </dataValidation>
    <dataValidation type="list" allowBlank="1" showInputMessage="1" showErrorMessage="1" sqref="A57 A59 G57 G59" xr:uid="{10F2CE51-0950-405E-B90C-DE077F507770}">
      <formula1>TC</formula1>
    </dataValidation>
  </dataValidations>
  <printOptions horizontalCentered="1"/>
  <pageMargins left="0.59055118110236227" right="0.35433070866141736" top="0.43307086614173229" bottom="0.59055118110236227" header="0.23622047244094491" footer="0.15748031496062992"/>
  <pageSetup scale="72" orientation="portrait" r:id="rId1"/>
  <headerFooter alignWithMargins="0">
    <oddFooter>&amp;L&amp;6T.PU.005 Supplier Self Assessment and Approval Form / T.Schneider / 16.12.2020&amp;R&amp;6&amp;A   &amp;P/&amp;N</oddFooter>
  </headerFooter>
  <rowBreaks count="1" manualBreakCount="1">
    <brk id="39" max="10" man="1"/>
  </rowBreaks>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6" operator="equal" id="{9F4FCED7-1709-4CD9-9E03-128397B4187D}">
            <xm:f>'[Kopie von T.PU.005 Supplier Self Assessment and Approval Form_V2.5.xlsx]Language table'!#REF!</xm:f>
            <x14:dxf>
              <fill>
                <patternFill>
                  <bgColor theme="3" tint="0.79998168889431442"/>
                </patternFill>
              </fill>
            </x14:dxf>
          </x14:cfRule>
          <xm:sqref>A57</xm:sqref>
        </x14:conditionalFormatting>
        <x14:conditionalFormatting xmlns:xm="http://schemas.microsoft.com/office/excel/2006/main">
          <x14:cfRule type="cellIs" priority="5" operator="equal" id="{6F4184AD-7569-4EC7-A56E-812F813ABC85}">
            <xm:f>'[Kopie von T.PU.005 Supplier Self Assessment and Approval Form_V2.5.xlsx]Language table'!#REF!</xm:f>
            <x14:dxf>
              <fill>
                <patternFill>
                  <bgColor theme="3" tint="0.79998168889431442"/>
                </patternFill>
              </fill>
            </x14:dxf>
          </x14:cfRule>
          <xm:sqref>A59</xm:sqref>
        </x14:conditionalFormatting>
        <x14:conditionalFormatting xmlns:xm="http://schemas.microsoft.com/office/excel/2006/main">
          <x14:cfRule type="cellIs" priority="4" operator="equal" id="{901E43BF-824D-4DE3-803B-C296BFA9A8A0}">
            <xm:f>'[Kopie von T.PU.005 Supplier Self Assessment and Approval Form_V2.5.xlsx]Language table'!#REF!</xm:f>
            <x14:dxf>
              <fill>
                <patternFill>
                  <bgColor theme="3" tint="0.79998168889431442"/>
                </patternFill>
              </fill>
            </x14:dxf>
          </x14:cfRule>
          <xm:sqref>G57</xm:sqref>
        </x14:conditionalFormatting>
        <x14:conditionalFormatting xmlns:xm="http://schemas.microsoft.com/office/excel/2006/main">
          <x14:cfRule type="cellIs" priority="3" operator="equal" id="{998C7891-7DCC-4776-8C73-6F234FEE193D}">
            <xm:f>'[Kopie von T.PU.005 Supplier Self Assessment and Approval Form_V2.5.xlsx]Language table'!#REF!</xm:f>
            <x14:dxf>
              <fill>
                <patternFill>
                  <bgColor theme="3" tint="0.79998168889431442"/>
                </patternFill>
              </fill>
            </x14:dxf>
          </x14:cfRule>
          <xm:sqref>G59</xm:sqref>
        </x14:conditionalFormatting>
        <x14:conditionalFormatting xmlns:xm="http://schemas.microsoft.com/office/excel/2006/main">
          <x14:cfRule type="cellIs" priority="1" operator="equal" id="{3972259A-C128-4D18-9F10-C65798AB814C}">
            <xm:f>'Language table'!$B$3</xm:f>
            <x14:dxf>
              <fill>
                <patternFill>
                  <bgColor theme="0" tint="-0.14996795556505021"/>
                </patternFill>
              </fill>
            </x14:dxf>
          </x14:cfRule>
          <xm:sqref>J26:K26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4"/>
  <sheetViews>
    <sheetView zoomScaleNormal="100" workbookViewId="0">
      <selection activeCell="Q19" sqref="Q19"/>
    </sheetView>
  </sheetViews>
  <sheetFormatPr baseColWidth="10" defaultColWidth="11.42578125" defaultRowHeight="12.75"/>
  <cols>
    <col min="1" max="2" width="12" style="14" customWidth="1"/>
    <col min="3" max="3" width="17.5703125" style="14" customWidth="1"/>
    <col min="4" max="5" width="9.140625" style="14" customWidth="1"/>
    <col min="6" max="8" width="10.85546875" style="14" customWidth="1"/>
    <col min="9" max="9" width="9.140625" style="14" customWidth="1"/>
    <col min="10" max="10" width="10.140625" style="14" customWidth="1"/>
    <col min="11" max="11" width="12" style="14" customWidth="1"/>
    <col min="12" max="16384" width="11.42578125" style="14"/>
  </cols>
  <sheetData>
    <row r="1" spans="1:33" ht="42.75" customHeight="1" thickBot="1">
      <c r="A1" s="440" t="str">
        <f>HLOOKUP(Language,Translation,2)</f>
        <v>Empfehlungsbogen</v>
      </c>
      <c r="B1" s="438"/>
      <c r="C1" s="438"/>
      <c r="D1" s="438"/>
      <c r="E1" s="438"/>
      <c r="F1" s="438"/>
      <c r="G1" s="438"/>
      <c r="H1" s="438"/>
      <c r="I1" s="438"/>
      <c r="J1" s="438"/>
      <c r="K1" s="439"/>
      <c r="L1" s="21"/>
      <c r="M1" s="21"/>
      <c r="N1" s="21"/>
      <c r="O1" s="21"/>
      <c r="P1" s="21"/>
      <c r="Q1" s="21"/>
      <c r="R1" s="21"/>
      <c r="S1" s="21"/>
      <c r="T1" s="21"/>
      <c r="U1" s="21"/>
      <c r="V1" s="21"/>
      <c r="W1" s="21"/>
      <c r="X1" s="21"/>
      <c r="Y1" s="21"/>
      <c r="Z1" s="21"/>
      <c r="AA1" s="21"/>
      <c r="AB1" s="21"/>
      <c r="AC1" s="21"/>
      <c r="AD1" s="21"/>
      <c r="AE1" s="21"/>
      <c r="AF1" s="21"/>
      <c r="AG1" s="21"/>
    </row>
    <row r="2" spans="1:33" ht="8.25" customHeight="1" thickBot="1">
      <c r="A2" s="22"/>
      <c r="B2" s="22"/>
      <c r="C2" s="22"/>
      <c r="D2" s="22"/>
      <c r="E2" s="22"/>
      <c r="F2" s="22"/>
      <c r="G2" s="22"/>
      <c r="H2" s="22"/>
      <c r="I2" s="22"/>
      <c r="J2" s="22"/>
      <c r="K2" s="22"/>
      <c r="L2" s="21"/>
      <c r="M2" s="21"/>
      <c r="N2" s="21"/>
      <c r="O2" s="21"/>
      <c r="P2" s="21"/>
      <c r="Q2" s="21"/>
      <c r="R2" s="21"/>
      <c r="S2" s="21"/>
      <c r="T2" s="21"/>
      <c r="U2" s="21"/>
      <c r="V2" s="21"/>
      <c r="W2" s="21"/>
      <c r="X2" s="21"/>
      <c r="Y2" s="21"/>
      <c r="Z2" s="21"/>
      <c r="AA2" s="21"/>
      <c r="AB2" s="21"/>
      <c r="AC2" s="21"/>
      <c r="AD2" s="21"/>
      <c r="AE2" s="21"/>
      <c r="AF2" s="21"/>
      <c r="AG2" s="21"/>
    </row>
    <row r="3" spans="1:33" s="171" customFormat="1" ht="50.1" customHeight="1" thickBot="1">
      <c r="A3" s="456" t="str">
        <f>HLOOKUP(Language,Translation,55)</f>
        <v>3. Finanzen</v>
      </c>
      <c r="B3" s="457"/>
      <c r="C3" s="457"/>
      <c r="D3" s="457"/>
      <c r="E3" s="457"/>
      <c r="F3" s="457"/>
      <c r="G3" s="457"/>
      <c r="H3" s="457"/>
      <c r="I3" s="457"/>
      <c r="J3" s="457"/>
      <c r="K3" s="458"/>
      <c r="L3" s="188"/>
      <c r="M3" s="188"/>
      <c r="N3" s="188"/>
      <c r="O3" s="188"/>
      <c r="P3" s="188"/>
      <c r="Q3" s="188"/>
      <c r="R3" s="188"/>
      <c r="S3" s="188"/>
      <c r="T3" s="188"/>
      <c r="U3" s="188"/>
      <c r="V3" s="188"/>
      <c r="W3" s="188"/>
      <c r="X3" s="188"/>
      <c r="Y3" s="188"/>
      <c r="Z3" s="188"/>
      <c r="AA3" s="188"/>
      <c r="AB3" s="188"/>
      <c r="AC3" s="188"/>
      <c r="AD3" s="188"/>
      <c r="AE3" s="188"/>
      <c r="AF3" s="188"/>
      <c r="AG3" s="188"/>
    </row>
    <row r="4" spans="1:33" ht="15" customHeight="1">
      <c r="A4" s="444" t="str">
        <f>HLOOKUP(Language,Translation,56)</f>
        <v>Risikoabsicherung</v>
      </c>
      <c r="B4" s="442"/>
      <c r="C4" s="442"/>
      <c r="D4" s="441" t="str">
        <f>HLOOKUP(Language,Translation,57)</f>
        <v>Vorhanden</v>
      </c>
      <c r="E4" s="445"/>
      <c r="F4" s="442" t="str">
        <f>HLOOKUP(Language,Translation,58)</f>
        <v>Wenn nicht, zu wann geplant?</v>
      </c>
      <c r="G4" s="442"/>
      <c r="H4" s="445"/>
      <c r="I4" s="441" t="str">
        <f>HLOOKUP(Language,Translation,59)</f>
        <v>Deckungssumme</v>
      </c>
      <c r="J4" s="442"/>
      <c r="K4" s="443"/>
      <c r="L4" s="21"/>
      <c r="M4" s="21"/>
      <c r="N4" s="21"/>
      <c r="O4" s="21"/>
      <c r="P4" s="21"/>
      <c r="Q4" s="21"/>
      <c r="R4" s="21"/>
      <c r="S4" s="21"/>
      <c r="T4" s="21"/>
      <c r="U4" s="21"/>
      <c r="V4" s="21"/>
      <c r="W4" s="21"/>
      <c r="X4" s="21"/>
      <c r="Y4" s="21"/>
      <c r="Z4" s="21"/>
      <c r="AA4" s="21"/>
      <c r="AB4" s="21"/>
      <c r="AC4" s="21"/>
      <c r="AD4" s="21"/>
      <c r="AE4" s="21"/>
      <c r="AF4" s="21"/>
      <c r="AG4" s="21"/>
    </row>
    <row r="5" spans="1:33" ht="18.75" customHeight="1">
      <c r="A5" s="446" t="str">
        <f>HLOOKUP(Language,Translation,60)</f>
        <v>Betriebshaftpflichtversicherung</v>
      </c>
      <c r="B5" s="447"/>
      <c r="C5" s="448"/>
      <c r="D5" s="413" t="s">
        <v>113</v>
      </c>
      <c r="E5" s="452"/>
      <c r="F5" s="415"/>
      <c r="G5" s="423"/>
      <c r="H5" s="416"/>
      <c r="I5" s="468"/>
      <c r="J5" s="469"/>
      <c r="K5" s="87" t="s">
        <v>1258</v>
      </c>
      <c r="L5" s="21"/>
      <c r="M5" s="21"/>
      <c r="N5" s="21"/>
      <c r="O5" s="21"/>
      <c r="P5" s="21"/>
      <c r="Q5" s="21"/>
      <c r="R5" s="21"/>
      <c r="S5" s="21"/>
      <c r="T5" s="21"/>
      <c r="U5" s="21"/>
      <c r="V5" s="21"/>
      <c r="W5" s="21"/>
      <c r="X5" s="21"/>
      <c r="Y5" s="21"/>
      <c r="Z5" s="21"/>
      <c r="AA5" s="21"/>
      <c r="AB5" s="21"/>
      <c r="AC5" s="21"/>
      <c r="AD5" s="21"/>
      <c r="AE5" s="21"/>
      <c r="AF5" s="21"/>
      <c r="AG5" s="21"/>
    </row>
    <row r="6" spans="1:33" ht="18.75" customHeight="1">
      <c r="A6" s="449" t="str">
        <f>HLOOKUP(Language,Translation,61)</f>
        <v>Erweiterte Produkthaftpflichtversicherung</v>
      </c>
      <c r="B6" s="450"/>
      <c r="C6" s="451"/>
      <c r="D6" s="419" t="s">
        <v>113</v>
      </c>
      <c r="E6" s="453"/>
      <c r="F6" s="415"/>
      <c r="G6" s="423"/>
      <c r="H6" s="416"/>
      <c r="I6" s="468"/>
      <c r="J6" s="469"/>
      <c r="K6" s="87" t="s">
        <v>1258</v>
      </c>
      <c r="L6" s="21"/>
      <c r="M6" s="21"/>
      <c r="N6" s="21"/>
      <c r="O6" s="21"/>
      <c r="P6" s="21"/>
      <c r="Q6" s="21"/>
      <c r="R6" s="21"/>
      <c r="S6" s="21"/>
      <c r="T6" s="21"/>
      <c r="U6" s="21"/>
      <c r="V6" s="21"/>
      <c r="W6" s="21"/>
      <c r="X6" s="21"/>
      <c r="Y6" s="21"/>
      <c r="Z6" s="21"/>
      <c r="AA6" s="21"/>
      <c r="AB6" s="21"/>
      <c r="AC6" s="21"/>
      <c r="AD6" s="21"/>
      <c r="AE6" s="21"/>
      <c r="AF6" s="21"/>
      <c r="AG6" s="21"/>
    </row>
    <row r="7" spans="1:33" ht="18.75" customHeight="1">
      <c r="A7" s="449" t="str">
        <f>HLOOKUP(Language,Translation,62)</f>
        <v>Rückrufkostenversicherung</v>
      </c>
      <c r="B7" s="450"/>
      <c r="C7" s="451"/>
      <c r="D7" s="419" t="s">
        <v>113</v>
      </c>
      <c r="E7" s="420"/>
      <c r="F7" s="415"/>
      <c r="G7" s="423"/>
      <c r="H7" s="416"/>
      <c r="I7" s="468"/>
      <c r="J7" s="469"/>
      <c r="K7" s="87" t="s">
        <v>1258</v>
      </c>
      <c r="L7" s="21"/>
      <c r="M7" s="21"/>
      <c r="N7" s="21"/>
      <c r="O7" s="21"/>
      <c r="P7" s="21"/>
      <c r="Q7" s="21"/>
      <c r="R7" s="21"/>
      <c r="S7" s="21"/>
      <c r="T7" s="21"/>
      <c r="U7" s="21"/>
      <c r="V7" s="21"/>
      <c r="W7" s="21"/>
      <c r="X7" s="21"/>
      <c r="Y7" s="21"/>
      <c r="Z7" s="21"/>
      <c r="AA7" s="21"/>
      <c r="AB7" s="21"/>
      <c r="AC7" s="21"/>
      <c r="AD7" s="21"/>
      <c r="AE7" s="21"/>
      <c r="AF7" s="21"/>
      <c r="AG7" s="21"/>
    </row>
    <row r="8" spans="1:33" ht="27.75" customHeight="1" thickBot="1">
      <c r="A8" s="465" t="str">
        <f>HLOOKUP(Language,Translation,63)</f>
        <v>Hinweis: BENTELER Automobilzulieferer müssen eine gültige Versicherung zur Deckung der erweiterten Produkthaftung und Rückrufkosten in Höhe von mindestens 10 Mio. EUR pro Vorfall führen und dies nachweisen.</v>
      </c>
      <c r="B8" s="466"/>
      <c r="C8" s="466"/>
      <c r="D8" s="466"/>
      <c r="E8" s="466"/>
      <c r="F8" s="466"/>
      <c r="G8" s="466"/>
      <c r="H8" s="466"/>
      <c r="I8" s="466"/>
      <c r="J8" s="466"/>
      <c r="K8" s="467"/>
      <c r="L8" s="21"/>
      <c r="M8" s="21"/>
      <c r="N8" s="21"/>
      <c r="O8" s="21"/>
      <c r="P8" s="21"/>
      <c r="Q8" s="21"/>
      <c r="R8" s="21"/>
      <c r="S8" s="21"/>
      <c r="T8" s="21"/>
      <c r="U8" s="21"/>
      <c r="V8" s="21"/>
      <c r="W8" s="21"/>
      <c r="X8" s="21"/>
      <c r="Y8" s="21"/>
      <c r="Z8" s="21"/>
      <c r="AA8" s="21"/>
      <c r="AB8" s="21"/>
      <c r="AC8" s="21"/>
      <c r="AD8" s="21"/>
      <c r="AE8" s="21"/>
      <c r="AF8" s="21"/>
      <c r="AG8" s="21"/>
    </row>
    <row r="9" spans="1:33" ht="8.25" customHeight="1">
      <c r="A9" s="23"/>
      <c r="B9" s="24"/>
      <c r="C9" s="24"/>
      <c r="D9" s="24"/>
      <c r="E9" s="24"/>
      <c r="F9" s="24"/>
      <c r="G9" s="24"/>
      <c r="H9" s="24"/>
      <c r="I9" s="24"/>
      <c r="J9" s="24"/>
      <c r="K9" s="25"/>
      <c r="L9" s="21"/>
      <c r="M9" s="21"/>
      <c r="N9" s="21"/>
      <c r="O9" s="21"/>
      <c r="P9" s="21"/>
      <c r="Q9" s="21"/>
      <c r="R9" s="21"/>
      <c r="S9" s="21"/>
      <c r="T9" s="21"/>
      <c r="U9" s="21"/>
      <c r="V9" s="21"/>
      <c r="W9" s="21"/>
      <c r="X9" s="21"/>
      <c r="Y9" s="21"/>
      <c r="Z9" s="21"/>
      <c r="AA9" s="21"/>
      <c r="AB9" s="21"/>
      <c r="AC9" s="21"/>
      <c r="AD9" s="21"/>
      <c r="AE9" s="21"/>
      <c r="AF9" s="21"/>
      <c r="AG9" s="21"/>
    </row>
    <row r="10" spans="1:33" ht="8.25" customHeight="1" thickBo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row>
    <row r="11" spans="1:33" ht="18.75" customHeight="1" thickBot="1">
      <c r="A11" s="424" t="str">
        <f>HLOOKUP(Language,Translation,246)</f>
        <v>Währung</v>
      </c>
      <c r="B11" s="425"/>
      <c r="C11" s="426"/>
      <c r="D11" s="427" t="s">
        <v>113</v>
      </c>
      <c r="E11" s="428"/>
      <c r="F11" s="428"/>
      <c r="G11" s="428"/>
      <c r="H11" s="428"/>
      <c r="I11" s="428"/>
      <c r="J11" s="428"/>
      <c r="K11" s="429"/>
      <c r="L11" s="21"/>
      <c r="M11" s="21"/>
      <c r="N11" s="21"/>
      <c r="O11" s="21"/>
      <c r="P11" s="21"/>
      <c r="Q11" s="21"/>
      <c r="R11" s="21"/>
      <c r="S11" s="21"/>
      <c r="T11" s="21"/>
      <c r="U11" s="21"/>
      <c r="V11" s="21"/>
      <c r="W11" s="21"/>
      <c r="X11" s="21"/>
      <c r="Y11" s="21"/>
      <c r="Z11" s="21"/>
      <c r="AA11" s="21"/>
      <c r="AB11" s="21"/>
      <c r="AC11" s="21"/>
      <c r="AD11" s="21"/>
      <c r="AE11" s="21"/>
      <c r="AF11" s="21"/>
      <c r="AG11" s="21"/>
    </row>
    <row r="12" spans="1:33" ht="8.25" customHeight="1" thickBo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ht="18.75" customHeight="1" thickBot="1">
      <c r="A13" s="424" t="str">
        <f>HLOOKUP(Language,Translation,77)</f>
        <v>Incoterm</v>
      </c>
      <c r="B13" s="425"/>
      <c r="C13" s="426"/>
      <c r="D13" s="427" t="s">
        <v>113</v>
      </c>
      <c r="E13" s="428"/>
      <c r="F13" s="428"/>
      <c r="G13" s="428"/>
      <c r="H13" s="428"/>
      <c r="I13" s="428"/>
      <c r="J13" s="428"/>
      <c r="K13" s="429"/>
      <c r="L13" s="21"/>
      <c r="M13" s="97"/>
      <c r="N13" s="21"/>
      <c r="O13" s="21"/>
      <c r="P13" s="21"/>
      <c r="Q13" s="21"/>
      <c r="R13" s="21"/>
      <c r="S13" s="21"/>
      <c r="T13" s="21"/>
      <c r="U13" s="21"/>
      <c r="V13" s="21"/>
      <c r="W13" s="21"/>
      <c r="X13" s="21"/>
      <c r="Y13" s="21"/>
      <c r="Z13" s="21"/>
      <c r="AA13" s="21"/>
      <c r="AB13" s="21"/>
      <c r="AC13" s="21"/>
      <c r="AD13" s="21"/>
      <c r="AE13" s="21"/>
      <c r="AF13" s="21"/>
      <c r="AG13" s="21"/>
    </row>
    <row r="14" spans="1:33" ht="13.5" thickBo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spans="1:33" s="171" customFormat="1" ht="50.1" customHeight="1" thickBot="1">
      <c r="A15" s="456" t="str">
        <f>HLOOKUP(Language,Translation,78)</f>
        <v>4. Qualität</v>
      </c>
      <c r="B15" s="457"/>
      <c r="C15" s="457"/>
      <c r="D15" s="457"/>
      <c r="E15" s="457"/>
      <c r="F15" s="457"/>
      <c r="G15" s="457"/>
      <c r="H15" s="457"/>
      <c r="I15" s="457"/>
      <c r="J15" s="457"/>
      <c r="K15" s="458"/>
      <c r="L15" s="188"/>
      <c r="M15" s="188"/>
      <c r="N15" s="188"/>
      <c r="O15" s="188"/>
      <c r="P15" s="188"/>
      <c r="Q15" s="188"/>
      <c r="R15" s="188"/>
      <c r="S15" s="188"/>
      <c r="T15" s="188"/>
      <c r="U15" s="188"/>
      <c r="V15" s="188"/>
      <c r="W15" s="188"/>
      <c r="X15" s="188"/>
      <c r="Y15" s="188"/>
      <c r="Z15" s="188"/>
      <c r="AA15" s="188"/>
      <c r="AB15" s="188"/>
      <c r="AC15" s="188"/>
      <c r="AD15" s="188"/>
      <c r="AE15" s="188"/>
      <c r="AF15" s="188"/>
      <c r="AG15" s="188"/>
    </row>
    <row r="16" spans="1:33" ht="15">
      <c r="A16" s="462" t="str">
        <f>HLOOKUP(Language,Translation,79)</f>
        <v>Zertifizierung des Managements</v>
      </c>
      <c r="B16" s="463"/>
      <c r="C16" s="463"/>
      <c r="D16" s="463"/>
      <c r="E16" s="463"/>
      <c r="F16" s="463"/>
      <c r="G16" s="463"/>
      <c r="H16" s="463"/>
      <c r="I16" s="463"/>
      <c r="J16" s="463"/>
      <c r="K16" s="464"/>
      <c r="L16" s="21"/>
      <c r="M16" s="21"/>
      <c r="N16" s="21"/>
      <c r="O16" s="21"/>
      <c r="P16" s="21"/>
      <c r="Q16" s="21"/>
      <c r="R16" s="21"/>
      <c r="S16" s="21"/>
      <c r="T16" s="21"/>
      <c r="U16" s="21"/>
      <c r="V16" s="21"/>
      <c r="W16" s="21"/>
      <c r="X16" s="21"/>
      <c r="Y16" s="21"/>
      <c r="Z16" s="21"/>
      <c r="AA16" s="21"/>
      <c r="AB16" s="21"/>
      <c r="AC16" s="21"/>
      <c r="AD16" s="21"/>
      <c r="AE16" s="21"/>
      <c r="AF16" s="21"/>
      <c r="AG16" s="21"/>
    </row>
    <row r="17" spans="1:33">
      <c r="A17" s="459" t="str">
        <f>HLOOKUP(Language,Translation,80)</f>
        <v>*Bitte fügen Sie eine Kopie der Management-Zertifikate bei (PDF)</v>
      </c>
      <c r="B17" s="460"/>
      <c r="C17" s="460"/>
      <c r="D17" s="460"/>
      <c r="E17" s="460"/>
      <c r="F17" s="460"/>
      <c r="G17" s="460"/>
      <c r="H17" s="460"/>
      <c r="I17" s="460"/>
      <c r="J17" s="460"/>
      <c r="K17" s="461"/>
      <c r="L17" s="21"/>
      <c r="M17" s="21"/>
      <c r="N17" s="21"/>
      <c r="O17" s="21"/>
      <c r="P17" s="21"/>
      <c r="Q17" s="21"/>
      <c r="R17" s="21"/>
      <c r="S17" s="21"/>
      <c r="T17" s="21"/>
      <c r="U17" s="21"/>
      <c r="V17" s="21"/>
      <c r="W17" s="21"/>
      <c r="X17" s="21"/>
      <c r="Y17" s="21"/>
      <c r="Z17" s="21"/>
      <c r="AA17" s="21"/>
      <c r="AB17" s="21"/>
      <c r="AC17" s="21"/>
      <c r="AD17" s="21"/>
      <c r="AE17" s="21"/>
      <c r="AF17" s="21"/>
      <c r="AG17" s="21"/>
    </row>
    <row r="18" spans="1:33" ht="30" customHeight="1">
      <c r="A18" s="430" t="str">
        <f>HLOOKUP(Language,Translation,81)</f>
        <v>*Zertifikat</v>
      </c>
      <c r="B18" s="431"/>
      <c r="C18" s="432"/>
      <c r="D18" s="436" t="str">
        <f>HLOOKUP(Language,Translation,57)</f>
        <v>Vorhanden</v>
      </c>
      <c r="E18" s="437"/>
      <c r="F18" s="433" t="str">
        <f>HLOOKUP(Language,Translation,58)</f>
        <v>Wenn nicht, zu wann geplant?</v>
      </c>
      <c r="G18" s="434"/>
      <c r="H18" s="433" t="str">
        <f>HLOOKUP(Language,Translation,66)</f>
        <v>Ablaufdatum:</v>
      </c>
      <c r="I18" s="434"/>
      <c r="J18" s="433" t="str">
        <f>HLOOKUP(Language,Translation,88)</f>
        <v>Zertifizierungsstelle</v>
      </c>
      <c r="K18" s="435"/>
      <c r="L18" s="21"/>
      <c r="M18" s="21"/>
      <c r="N18" s="21"/>
      <c r="O18" s="21"/>
      <c r="P18" s="21"/>
      <c r="Q18" s="21"/>
      <c r="R18" s="21"/>
      <c r="S18" s="21"/>
      <c r="T18" s="21"/>
      <c r="U18" s="21"/>
      <c r="V18" s="21"/>
      <c r="W18" s="21"/>
      <c r="X18" s="21"/>
      <c r="Y18" s="21"/>
      <c r="Z18" s="21"/>
      <c r="AA18" s="21"/>
      <c r="AB18" s="21"/>
      <c r="AC18" s="21"/>
      <c r="AD18" s="21"/>
      <c r="AE18" s="21"/>
      <c r="AF18" s="21"/>
      <c r="AG18" s="21"/>
    </row>
    <row r="19" spans="1:33" ht="18.75" customHeight="1">
      <c r="A19" s="410" t="str">
        <f>HLOOKUP(Language,Translation,82)</f>
        <v>ISO 9001</v>
      </c>
      <c r="B19" s="411"/>
      <c r="C19" s="412"/>
      <c r="D19" s="419" t="s">
        <v>113</v>
      </c>
      <c r="E19" s="420"/>
      <c r="F19" s="415"/>
      <c r="G19" s="416"/>
      <c r="H19" s="415"/>
      <c r="I19" s="416"/>
      <c r="J19" s="417"/>
      <c r="K19" s="418"/>
      <c r="L19" s="21"/>
      <c r="M19" s="21"/>
      <c r="N19" s="21"/>
      <c r="O19" s="21"/>
      <c r="P19" s="21"/>
      <c r="Q19" s="21"/>
      <c r="R19" s="21"/>
      <c r="S19" s="21"/>
      <c r="T19" s="21"/>
      <c r="U19" s="21"/>
      <c r="V19" s="21"/>
      <c r="W19" s="21"/>
      <c r="X19" s="21"/>
      <c r="Y19" s="21"/>
      <c r="Z19" s="21"/>
      <c r="AA19" s="21"/>
      <c r="AB19" s="21"/>
      <c r="AC19" s="21"/>
      <c r="AD19" s="21"/>
      <c r="AE19" s="21"/>
      <c r="AF19" s="21"/>
      <c r="AG19" s="21"/>
    </row>
    <row r="20" spans="1:33" ht="18.75" customHeight="1">
      <c r="A20" s="410" t="str">
        <f>HLOOKUP(Language,Translation,83)</f>
        <v>IATF 16949</v>
      </c>
      <c r="B20" s="411"/>
      <c r="C20" s="412"/>
      <c r="D20" s="421" t="s">
        <v>113</v>
      </c>
      <c r="E20" s="422"/>
      <c r="F20" s="415"/>
      <c r="G20" s="416"/>
      <c r="H20" s="415"/>
      <c r="I20" s="416"/>
      <c r="J20" s="417"/>
      <c r="K20" s="418"/>
      <c r="L20" s="21"/>
      <c r="M20" s="21"/>
      <c r="N20" s="21"/>
      <c r="O20" s="21"/>
      <c r="P20" s="21"/>
      <c r="Q20" s="21"/>
      <c r="R20" s="21"/>
      <c r="S20" s="21"/>
      <c r="T20" s="21"/>
      <c r="U20" s="21"/>
      <c r="V20" s="21"/>
      <c r="W20" s="21"/>
      <c r="X20" s="21"/>
      <c r="Y20" s="21"/>
      <c r="Z20" s="21"/>
      <c r="AA20" s="21"/>
      <c r="AB20" s="21"/>
      <c r="AC20" s="21"/>
      <c r="AD20" s="21"/>
      <c r="AE20" s="21"/>
      <c r="AF20" s="21"/>
      <c r="AG20" s="21"/>
    </row>
    <row r="21" spans="1:33" ht="18.75" customHeight="1">
      <c r="A21" s="410" t="str">
        <f>HLOOKUP(Language,Translation,204)</f>
        <v>VDA 6.1</v>
      </c>
      <c r="B21" s="411"/>
      <c r="C21" s="411"/>
      <c r="D21" s="419" t="s">
        <v>113</v>
      </c>
      <c r="E21" s="420"/>
      <c r="F21" s="423"/>
      <c r="G21" s="416"/>
      <c r="H21" s="415"/>
      <c r="I21" s="416"/>
      <c r="J21" s="417"/>
      <c r="K21" s="418"/>
      <c r="L21" s="21"/>
      <c r="M21" s="21"/>
      <c r="N21" s="21"/>
      <c r="O21" s="21"/>
      <c r="P21" s="21"/>
      <c r="Q21" s="21"/>
      <c r="R21" s="21"/>
      <c r="S21" s="21"/>
      <c r="T21" s="21"/>
      <c r="U21" s="21"/>
      <c r="V21" s="21"/>
      <c r="W21" s="21"/>
      <c r="X21" s="21"/>
      <c r="Y21" s="21"/>
      <c r="Z21" s="21"/>
      <c r="AA21" s="21"/>
      <c r="AB21" s="21"/>
      <c r="AC21" s="21"/>
      <c r="AD21" s="21"/>
      <c r="AE21" s="21"/>
      <c r="AF21" s="21"/>
      <c r="AG21" s="21"/>
    </row>
    <row r="22" spans="1:33" ht="18.75" customHeight="1">
      <c r="A22" s="410" t="str">
        <f>HLOOKUP(Language,Translation,84)</f>
        <v>ISO 17025 (nur für Labore)</v>
      </c>
      <c r="B22" s="411"/>
      <c r="C22" s="412"/>
      <c r="D22" s="413" t="s">
        <v>113</v>
      </c>
      <c r="E22" s="414"/>
      <c r="F22" s="415"/>
      <c r="G22" s="416"/>
      <c r="H22" s="415"/>
      <c r="I22" s="416"/>
      <c r="J22" s="417"/>
      <c r="K22" s="418"/>
      <c r="L22" s="21"/>
      <c r="M22" s="21"/>
      <c r="N22" s="21"/>
      <c r="O22" s="21"/>
      <c r="P22" s="21"/>
      <c r="Q22" s="21"/>
      <c r="R22" s="21"/>
      <c r="S22" s="21"/>
      <c r="T22" s="21"/>
      <c r="U22" s="21"/>
      <c r="V22" s="21"/>
      <c r="W22" s="21"/>
      <c r="X22" s="21"/>
      <c r="Y22" s="21"/>
      <c r="Z22" s="21"/>
      <c r="AA22" s="21"/>
      <c r="AB22" s="21"/>
      <c r="AC22" s="21"/>
      <c r="AD22" s="21"/>
      <c r="AE22" s="21"/>
      <c r="AF22" s="21"/>
      <c r="AG22" s="21"/>
    </row>
    <row r="23" spans="1:33" ht="18.75" customHeight="1">
      <c r="A23" s="410" t="str">
        <f>HLOOKUP(Language,Translation,85)</f>
        <v>ISO 14001</v>
      </c>
      <c r="B23" s="411"/>
      <c r="C23" s="412"/>
      <c r="D23" s="419" t="s">
        <v>113</v>
      </c>
      <c r="E23" s="420"/>
      <c r="F23" s="415"/>
      <c r="G23" s="416"/>
      <c r="H23" s="415"/>
      <c r="I23" s="416"/>
      <c r="J23" s="417"/>
      <c r="K23" s="418"/>
      <c r="L23" s="21"/>
      <c r="M23" s="21"/>
      <c r="N23" s="21"/>
      <c r="O23" s="21"/>
      <c r="P23" s="21"/>
      <c r="Q23" s="21"/>
      <c r="R23" s="21"/>
      <c r="S23" s="21"/>
      <c r="T23" s="21"/>
      <c r="U23" s="21"/>
      <c r="V23" s="21"/>
      <c r="W23" s="21"/>
      <c r="X23" s="21"/>
      <c r="Y23" s="21"/>
      <c r="Z23" s="21"/>
      <c r="AA23" s="21"/>
      <c r="AB23" s="21"/>
      <c r="AC23" s="21"/>
      <c r="AD23" s="21"/>
      <c r="AE23" s="21"/>
      <c r="AF23" s="21"/>
      <c r="AG23" s="21"/>
    </row>
    <row r="24" spans="1:33" ht="18.75" customHeight="1">
      <c r="A24" s="410" t="str">
        <f>HLOOKUP(Language,Translation,86)</f>
        <v>ISO 45001 (vormals OHSAS 18001)</v>
      </c>
      <c r="B24" s="411"/>
      <c r="C24" s="412"/>
      <c r="D24" s="413" t="s">
        <v>113</v>
      </c>
      <c r="E24" s="414"/>
      <c r="F24" s="415"/>
      <c r="G24" s="416"/>
      <c r="H24" s="415"/>
      <c r="I24" s="416"/>
      <c r="J24" s="417"/>
      <c r="K24" s="418"/>
      <c r="L24" s="21"/>
      <c r="M24" s="21"/>
      <c r="N24" s="21"/>
      <c r="O24" s="21"/>
      <c r="P24" s="21"/>
      <c r="Q24" s="21"/>
      <c r="R24" s="21"/>
      <c r="S24" s="21"/>
      <c r="T24" s="21"/>
      <c r="U24" s="21"/>
      <c r="V24" s="21"/>
      <c r="W24" s="21"/>
      <c r="X24" s="21"/>
      <c r="Y24" s="21"/>
      <c r="Z24" s="21"/>
      <c r="AA24" s="21"/>
      <c r="AB24" s="21"/>
      <c r="AC24" s="21"/>
      <c r="AD24" s="21"/>
      <c r="AE24" s="21"/>
      <c r="AF24" s="21"/>
      <c r="AG24" s="21"/>
    </row>
    <row r="25" spans="1:33" ht="18.75" customHeight="1">
      <c r="A25" s="410" t="str">
        <f>HLOOKUP(Language,Translation,87)</f>
        <v>ISO 50001</v>
      </c>
      <c r="B25" s="411"/>
      <c r="C25" s="412"/>
      <c r="D25" s="413" t="s">
        <v>113</v>
      </c>
      <c r="E25" s="414"/>
      <c r="F25" s="415"/>
      <c r="G25" s="416"/>
      <c r="H25" s="415"/>
      <c r="I25" s="416"/>
      <c r="J25" s="417"/>
      <c r="K25" s="418"/>
      <c r="L25" s="21"/>
      <c r="M25" s="21"/>
      <c r="N25" s="21"/>
      <c r="O25" s="21"/>
      <c r="P25" s="21"/>
      <c r="Q25" s="21"/>
      <c r="R25" s="21"/>
      <c r="S25" s="21"/>
      <c r="T25" s="21"/>
      <c r="U25" s="21"/>
      <c r="V25" s="21"/>
      <c r="W25" s="21"/>
      <c r="X25" s="21"/>
      <c r="Y25" s="21"/>
      <c r="Z25" s="21"/>
      <c r="AA25" s="21"/>
      <c r="AB25" s="21"/>
      <c r="AC25" s="21"/>
      <c r="AD25" s="21"/>
      <c r="AE25" s="21"/>
      <c r="AF25" s="21"/>
      <c r="AG25" s="21"/>
    </row>
    <row r="26" spans="1:33" ht="18.75" customHeight="1">
      <c r="A26" s="410" t="str">
        <f>HLOOKUP(Language,Translation,253)</f>
        <v>TISAX Verfahren</v>
      </c>
      <c r="B26" s="411"/>
      <c r="C26" s="412"/>
      <c r="D26" s="419" t="s">
        <v>113</v>
      </c>
      <c r="E26" s="420"/>
      <c r="F26" s="415"/>
      <c r="G26" s="416"/>
      <c r="H26" s="415"/>
      <c r="I26" s="416"/>
      <c r="J26" s="417"/>
      <c r="K26" s="418"/>
      <c r="L26" s="21"/>
      <c r="M26" s="21"/>
      <c r="N26" s="21"/>
      <c r="O26" s="21"/>
      <c r="P26" s="21"/>
      <c r="Q26" s="21"/>
      <c r="R26" s="21"/>
      <c r="S26" s="21"/>
      <c r="T26" s="21"/>
      <c r="U26" s="21"/>
      <c r="V26" s="21"/>
      <c r="W26" s="21"/>
      <c r="X26" s="21"/>
      <c r="Y26" s="21"/>
      <c r="Z26" s="21"/>
      <c r="AA26" s="21"/>
      <c r="AB26" s="21"/>
      <c r="AC26" s="21"/>
      <c r="AD26" s="21"/>
      <c r="AE26" s="21"/>
      <c r="AF26" s="21"/>
      <c r="AG26" s="21"/>
    </row>
    <row r="27" spans="1:33" ht="18.75" customHeight="1" thickBot="1">
      <c r="A27" s="403" t="str">
        <f>HLOOKUP(Language,Translation,262)</f>
        <v>ISO/IEC 27001</v>
      </c>
      <c r="B27" s="404"/>
      <c r="C27" s="405"/>
      <c r="D27" s="406" t="s">
        <v>113</v>
      </c>
      <c r="E27" s="407"/>
      <c r="F27" s="408"/>
      <c r="G27" s="409"/>
      <c r="H27" s="408"/>
      <c r="I27" s="409"/>
      <c r="J27" s="454"/>
      <c r="K27" s="455"/>
      <c r="L27" s="21"/>
      <c r="M27" s="21"/>
      <c r="N27" s="21"/>
      <c r="O27" s="21"/>
      <c r="P27" s="21"/>
      <c r="Q27" s="21"/>
      <c r="R27" s="21"/>
      <c r="S27" s="21"/>
      <c r="T27" s="21"/>
      <c r="U27" s="21"/>
      <c r="V27" s="21"/>
      <c r="W27" s="21"/>
      <c r="X27" s="21"/>
      <c r="Y27" s="21"/>
      <c r="Z27" s="21"/>
      <c r="AA27" s="21"/>
      <c r="AB27" s="21"/>
      <c r="AC27" s="21"/>
      <c r="AD27" s="21"/>
      <c r="AE27" s="21"/>
      <c r="AF27" s="21"/>
      <c r="AG27" s="21"/>
    </row>
    <row r="28" spans="1:33">
      <c r="A28" s="26"/>
      <c r="B28" s="27"/>
      <c r="C28" s="27"/>
      <c r="D28" s="27"/>
      <c r="E28" s="27"/>
      <c r="F28" s="27"/>
      <c r="G28" s="27"/>
      <c r="H28" s="27"/>
      <c r="I28" s="27"/>
      <c r="J28" s="27"/>
      <c r="K28" s="27"/>
      <c r="L28" s="21"/>
      <c r="M28" s="21"/>
      <c r="N28" s="21"/>
      <c r="O28" s="21"/>
      <c r="P28" s="21"/>
      <c r="Q28" s="21"/>
      <c r="R28" s="21"/>
      <c r="S28" s="21"/>
      <c r="T28" s="21"/>
      <c r="U28" s="21"/>
      <c r="V28" s="21"/>
      <c r="W28" s="21"/>
      <c r="X28" s="21"/>
      <c r="Y28" s="21"/>
      <c r="Z28" s="21"/>
      <c r="AA28" s="21"/>
      <c r="AB28" s="21"/>
      <c r="AC28" s="21"/>
      <c r="AD28" s="21"/>
      <c r="AE28" s="21"/>
      <c r="AF28" s="21"/>
      <c r="AG28" s="21"/>
    </row>
    <row r="29" spans="1:33">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row>
    <row r="32" spans="1:33">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1:33">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row>
    <row r="39" spans="1:33">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row>
    <row r="40" spans="1:33">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row>
    <row r="41" spans="1:33">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33">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33">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3">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1:33">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1:33">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row>
    <row r="53" spans="1:3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row>
    <row r="54" spans="1:33">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row>
    <row r="55" spans="1:3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1:3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row>
    <row r="61" spans="1:33">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row>
    <row r="64" spans="1:33">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spans="1:33">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3">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spans="1:33">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spans="1:33">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spans="1:33">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spans="1:33">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spans="1:33">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spans="1:33">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1:33">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1:33">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1:33">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spans="1:33">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1:33">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spans="1:33">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1:3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spans="1:3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spans="1:3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spans="1:3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1:3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1:3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spans="1:3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spans="1:33">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spans="1:33">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spans="1:33">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spans="1:33">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spans="1:33">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spans="1:33">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spans="1:33">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spans="1:33">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spans="1:33">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spans="1:3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spans="1:33">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spans="1:33">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spans="1:33">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spans="1:33">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spans="1:33">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spans="1:33">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spans="1:33">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1:33">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spans="1:33">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1:33">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spans="1:33">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1:33">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1:33">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1:33">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1:33">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1:33">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spans="1:3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spans="1:33">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1:3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spans="1:33">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spans="1:33">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spans="1:33">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spans="1:33">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spans="1:33">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1:33">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1:33">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spans="1:33">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spans="1:33">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spans="1:33">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1:33">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1:33">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spans="1:33">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spans="1:33">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spans="1:33">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spans="1:33">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spans="1:33">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spans="1:33">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spans="1:33">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1:33">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spans="1:33">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spans="1:33">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spans="1:33">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spans="1:33">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spans="1:33">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spans="1:33">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spans="1:33">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spans="1:33">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spans="1:33">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spans="1:33">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spans="1:33">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spans="1:33">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spans="1:33">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spans="1:33">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spans="1:33">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spans="1:33">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spans="1:33">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spans="1:33">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spans="1:33">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spans="1:33">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spans="1:33">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spans="1:33">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spans="1:33">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spans="1:33">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spans="1:33">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spans="1:33">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spans="1:33">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spans="1:33">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spans="1:33">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spans="1:33">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spans="1:33">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spans="1:33">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spans="1:33">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spans="1:33">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spans="1:33">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spans="1:33">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spans="1:33">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spans="1:33">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spans="1:33">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spans="1:33">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spans="1:33">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spans="1:33">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spans="1:33">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spans="1:33">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spans="1:33">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spans="1:33">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spans="1:33">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spans="1:33">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spans="1:33">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spans="1:33">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spans="1:33">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spans="1:33">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spans="1:33">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spans="1:33">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spans="1:33">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spans="1:33">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spans="1:33">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spans="1:33">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spans="1:33">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spans="1:33">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spans="1:33">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1:33">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spans="1:33">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spans="1:33">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spans="1:33">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spans="1:33">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spans="1:33">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spans="1:33">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spans="1:33">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spans="1:33">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spans="1:33">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spans="1:33">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spans="1:33">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spans="1:33">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spans="1:33">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spans="1:33">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spans="1:33">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spans="1:33">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row>
    <row r="241" spans="1:33">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row>
    <row r="242" spans="1:33">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spans="1:33">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spans="1:33">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sheetData>
  <sheetProtection selectLockedCells="1"/>
  <mergeCells count="77">
    <mergeCell ref="J27:K27"/>
    <mergeCell ref="H27:I27"/>
    <mergeCell ref="A3:K3"/>
    <mergeCell ref="A15:K15"/>
    <mergeCell ref="A17:K17"/>
    <mergeCell ref="A16:K16"/>
    <mergeCell ref="A8:K8"/>
    <mergeCell ref="A26:C26"/>
    <mergeCell ref="D26:E26"/>
    <mergeCell ref="F26:G26"/>
    <mergeCell ref="H26:I26"/>
    <mergeCell ref="J26:K26"/>
    <mergeCell ref="I5:J5"/>
    <mergeCell ref="I6:J6"/>
    <mergeCell ref="I7:J7"/>
    <mergeCell ref="F4:H4"/>
    <mergeCell ref="F5:H5"/>
    <mergeCell ref="F6:H6"/>
    <mergeCell ref="F7:H7"/>
    <mergeCell ref="A5:C5"/>
    <mergeCell ref="A6:C6"/>
    <mergeCell ref="A7:C7"/>
    <mergeCell ref="D5:E5"/>
    <mergeCell ref="D6:E6"/>
    <mergeCell ref="D7:E7"/>
    <mergeCell ref="J1:K1"/>
    <mergeCell ref="A1:I1"/>
    <mergeCell ref="I4:K4"/>
    <mergeCell ref="A4:C4"/>
    <mergeCell ref="D4:E4"/>
    <mergeCell ref="A11:C11"/>
    <mergeCell ref="A13:C13"/>
    <mergeCell ref="D13:K13"/>
    <mergeCell ref="A18:C18"/>
    <mergeCell ref="F18:G18"/>
    <mergeCell ref="H18:I18"/>
    <mergeCell ref="J18:K18"/>
    <mergeCell ref="D11:K11"/>
    <mergeCell ref="D18:E18"/>
    <mergeCell ref="A19:C19"/>
    <mergeCell ref="A20:C20"/>
    <mergeCell ref="A22:C22"/>
    <mergeCell ref="A23:C23"/>
    <mergeCell ref="A24:C24"/>
    <mergeCell ref="A21:C21"/>
    <mergeCell ref="H25:I25"/>
    <mergeCell ref="J25:K25"/>
    <mergeCell ref="D19:E19"/>
    <mergeCell ref="D20:E20"/>
    <mergeCell ref="J24:K24"/>
    <mergeCell ref="F19:G19"/>
    <mergeCell ref="H19:I19"/>
    <mergeCell ref="J19:K19"/>
    <mergeCell ref="F20:G20"/>
    <mergeCell ref="H20:I20"/>
    <mergeCell ref="J20:K20"/>
    <mergeCell ref="H23:I23"/>
    <mergeCell ref="J23:K23"/>
    <mergeCell ref="F21:G21"/>
    <mergeCell ref="H21:I21"/>
    <mergeCell ref="J21:K21"/>
    <mergeCell ref="H22:I22"/>
    <mergeCell ref="J22:K22"/>
    <mergeCell ref="D24:E24"/>
    <mergeCell ref="F23:G23"/>
    <mergeCell ref="D21:E21"/>
    <mergeCell ref="F22:G22"/>
    <mergeCell ref="D22:E22"/>
    <mergeCell ref="D23:E23"/>
    <mergeCell ref="F24:G24"/>
    <mergeCell ref="H24:I24"/>
    <mergeCell ref="A27:C27"/>
    <mergeCell ref="D27:E27"/>
    <mergeCell ref="F27:G27"/>
    <mergeCell ref="A25:C25"/>
    <mergeCell ref="D25:E25"/>
    <mergeCell ref="F25:G25"/>
  </mergeCells>
  <phoneticPr fontId="2" type="noConversion"/>
  <conditionalFormatting sqref="J19:K27">
    <cfRule type="notContainsBlanks" dxfId="141" priority="3">
      <formula>LEN(TRIM(J19))&gt;0</formula>
    </cfRule>
  </conditionalFormatting>
  <conditionalFormatting sqref="F6">
    <cfRule type="notContainsBlanks" dxfId="140" priority="70">
      <formula>LEN(TRIM(F6))&gt;0</formula>
    </cfRule>
  </conditionalFormatting>
  <conditionalFormatting sqref="H19:I21 H23:I27">
    <cfRule type="cellIs" dxfId="139" priority="231" operator="notBetween">
      <formula>TODAY()</formula>
      <formula>DATE(YEAR(TODAY())+3,MONTH(TODAY()),DAY(TODAY()-1))</formula>
    </cfRule>
  </conditionalFormatting>
  <conditionalFormatting sqref="H22:I22">
    <cfRule type="cellIs" dxfId="138" priority="89" operator="notBetween">
      <formula>TODAY()</formula>
      <formula>DATE(YEAR(TODAY())+5,MONTH(TODAY()),DAY(TODAY()-1))</formula>
    </cfRule>
  </conditionalFormatting>
  <conditionalFormatting sqref="F5:H5">
    <cfRule type="notContainsBlanks" dxfId="137" priority="71">
      <formula>LEN(TRIM(F5))&gt;0</formula>
    </cfRule>
  </conditionalFormatting>
  <conditionalFormatting sqref="F7:H7">
    <cfRule type="notContainsBlanks" dxfId="136" priority="68">
      <formula>LEN(TRIM(F7))&gt;0</formula>
    </cfRule>
  </conditionalFormatting>
  <conditionalFormatting sqref="F19:G27">
    <cfRule type="notContainsBlanks" dxfId="135" priority="2">
      <formula>LEN(TRIM(F19))&gt;0</formula>
    </cfRule>
  </conditionalFormatting>
  <conditionalFormatting sqref="I5 J5">
    <cfRule type="cellIs" dxfId="134" priority="33" operator="between">
      <formula>0.1</formula>
      <formula>4.9</formula>
    </cfRule>
  </conditionalFormatting>
  <conditionalFormatting sqref="I6:J6">
    <cfRule type="cellIs" dxfId="133" priority="32" operator="between">
      <formula>0.1</formula>
      <formula>9.9</formula>
    </cfRule>
  </conditionalFormatting>
  <conditionalFormatting sqref="I7:J7">
    <cfRule type="cellIs" dxfId="132" priority="31" operator="between">
      <formula>0.1</formula>
      <formula>9.9</formula>
    </cfRule>
  </conditionalFormatting>
  <conditionalFormatting sqref="J26:K27">
    <cfRule type="notContainsBlanks" dxfId="131" priority="232">
      <formula>LEN(TRIM(J26))&gt;0</formula>
    </cfRule>
  </conditionalFormatting>
  <conditionalFormatting sqref="F26:G27">
    <cfRule type="notContainsBlanks" dxfId="130" priority="8">
      <formula>LEN(TRIM(F26))&gt;0</formula>
    </cfRule>
  </conditionalFormatting>
  <dataValidations count="4">
    <dataValidation type="list" allowBlank="1" showInputMessage="1" showErrorMessage="1" sqref="D5:E7 D19:E27" xr:uid="{EC82A2BA-715A-4FF9-98AA-3FC6D198B092}">
      <formula1>Selection</formula1>
    </dataValidation>
    <dataValidation type="list" allowBlank="1" showInputMessage="1" showErrorMessage="1" sqref="D13:K13" xr:uid="{4FFB2436-5A80-48A0-9DAA-8597CE73047D}">
      <formula1>Incoterms</formula1>
    </dataValidation>
    <dataValidation type="list" allowBlank="1" showInputMessage="1" showErrorMessage="1" sqref="D11:K11" xr:uid="{D915C726-8051-425D-BC4D-39B0A5B2D03A}">
      <formula1>Currency</formula1>
    </dataValidation>
    <dataValidation type="decimal" operator="lessThanOrEqual" allowBlank="1" showInputMessage="1" showErrorMessage="1" sqref="I5:J7" xr:uid="{F9B372F3-7FB5-49A4-ACFF-96EA725D7CD0}">
      <formula1>1000</formula1>
    </dataValidation>
  </dataValidations>
  <printOptions horizontalCentered="1"/>
  <pageMargins left="0.59055118110236227" right="0.55118110236220474" top="0.43307086614173229" bottom="0.59055118110236227" header="0.23622047244094491" footer="0.15748031496062992"/>
  <pageSetup scale="77" firstPageNumber="2" orientation="portrait" r:id="rId1"/>
  <headerFooter alignWithMargins="0">
    <oddFooter>&amp;L&amp;6T.PU.005 Supplier Self Assessment and Approval Form / T.Schneider / 16.12.2020&amp;R&amp;6&amp;A   &amp;P/&amp;N</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45" id="{F05F0D36-F3EF-4AE3-8E67-91897D8876AE}">
            <xm:f>AND($D$22='Language table'!$C$4,$H$22="")</xm:f>
            <x14:dxf>
              <fill>
                <patternFill>
                  <bgColor theme="0" tint="-0.14996795556505021"/>
                </patternFill>
              </fill>
            </x14:dxf>
          </x14:cfRule>
          <x14:cfRule type="expression" priority="51" id="{AAFAF579-5F51-4578-B7F9-065233B386F5}">
            <xm:f>OR($D$22='Language table'!$D$4,$D$22='Language table'!$B$4)</xm:f>
            <x14:dxf>
              <fill>
                <patternFill patternType="none">
                  <bgColor auto="1"/>
                </patternFill>
              </fill>
            </x14:dxf>
          </x14:cfRule>
          <xm:sqref>H22:I22</xm:sqref>
        </x14:conditionalFormatting>
        <x14:conditionalFormatting xmlns:xm="http://schemas.microsoft.com/office/excel/2006/main">
          <x14:cfRule type="expression" priority="91" id="{944004F7-B15A-40BA-91EB-C757E9140FAF}">
            <xm:f>$D$6='Language table'!$D$4</xm:f>
            <x14:dxf>
              <fill>
                <patternFill>
                  <bgColor theme="0" tint="-0.14996795556505021"/>
                </patternFill>
              </fill>
            </x14:dxf>
          </x14:cfRule>
          <xm:sqref>F6</xm:sqref>
        </x14:conditionalFormatting>
        <x14:conditionalFormatting xmlns:xm="http://schemas.microsoft.com/office/excel/2006/main">
          <x14:cfRule type="expression" priority="86" id="{00000000-000E-0000-0200-00000E000000}">
            <xm:f>$D$5='Language table'!$D$4</xm:f>
            <x14:dxf>
              <fill>
                <patternFill>
                  <bgColor theme="0" tint="-0.14996795556505021"/>
                </patternFill>
              </fill>
            </x14:dxf>
          </x14:cfRule>
          <xm:sqref>F5</xm:sqref>
        </x14:conditionalFormatting>
        <x14:conditionalFormatting xmlns:xm="http://schemas.microsoft.com/office/excel/2006/main">
          <x14:cfRule type="expression" priority="85" id="{00000000-000E-0000-0200-000003000000}">
            <xm:f>OR(VC='Language table'!$E$3,VC='Language table'!$F$3)</xm:f>
            <x14:dxf>
              <font>
                <color theme="0"/>
              </font>
              <fill>
                <patternFill>
                  <bgColor theme="0"/>
                </patternFill>
              </fill>
            </x14:dxf>
          </x14:cfRule>
          <xm:sqref>A8:K8 A6:I7 K6:K7</xm:sqref>
        </x14:conditionalFormatting>
        <x14:conditionalFormatting xmlns:xm="http://schemas.microsoft.com/office/excel/2006/main">
          <x14:cfRule type="cellIs" priority="92" operator="equal" id="{89135EBB-70F1-4948-8F07-5330301CD5B2}">
            <xm:f>'Language table'!$B$3</xm:f>
            <x14:dxf>
              <fill>
                <patternFill>
                  <bgColor theme="0" tint="-0.14996795556505021"/>
                </patternFill>
              </fill>
            </x14:dxf>
          </x14:cfRule>
          <xm:sqref>D5:E7</xm:sqref>
        </x14:conditionalFormatting>
        <x14:conditionalFormatting xmlns:xm="http://schemas.microsoft.com/office/excel/2006/main">
          <x14:cfRule type="cellIs" priority="82" operator="equal" id="{588EF23A-FB96-462C-A5D5-BFE8B1D2AD87}">
            <xm:f>'Language table'!$B$3</xm:f>
            <x14:dxf>
              <fill>
                <patternFill>
                  <bgColor theme="0" tint="-0.14996795556505021"/>
                </patternFill>
              </fill>
            </x14:dxf>
          </x14:cfRule>
          <xm:sqref>D11 D19:E25</xm:sqref>
        </x14:conditionalFormatting>
        <x14:conditionalFormatting xmlns:xm="http://schemas.microsoft.com/office/excel/2006/main">
          <x14:cfRule type="cellIs" priority="77" operator="equal" id="{402D0E40-348D-477B-807D-C814F32470C9}">
            <xm:f>'Language table'!$B$3</xm:f>
            <x14:dxf>
              <fill>
                <patternFill>
                  <bgColor theme="0" tint="-0.14996795556505021"/>
                </patternFill>
              </fill>
            </x14:dxf>
          </x14:cfRule>
          <xm:sqref>D13</xm:sqref>
        </x14:conditionalFormatting>
        <x14:conditionalFormatting xmlns:xm="http://schemas.microsoft.com/office/excel/2006/main">
          <x14:cfRule type="expression" priority="69" id="{07F1AD35-04EA-422F-A676-B59D241A361D}">
            <xm:f>$D$7='Language table'!$D$4</xm:f>
            <x14:dxf>
              <fill>
                <patternFill>
                  <bgColor theme="0" tint="-0.14996795556505021"/>
                </patternFill>
              </fill>
            </x14:dxf>
          </x14:cfRule>
          <xm:sqref>F7:H7</xm:sqref>
        </x14:conditionalFormatting>
        <x14:conditionalFormatting xmlns:xm="http://schemas.microsoft.com/office/excel/2006/main">
          <x14:cfRule type="expression" priority="64" id="{6CA09AFC-02AC-4093-9DE1-493B249C72DE}">
            <xm:f>$D$19='Language table'!$D$4</xm:f>
            <x14:dxf>
              <fill>
                <patternFill>
                  <bgColor theme="0" tint="-0.14996795556505021"/>
                </patternFill>
              </fill>
            </x14:dxf>
          </x14:cfRule>
          <xm:sqref>F19:G19</xm:sqref>
        </x14:conditionalFormatting>
        <x14:conditionalFormatting xmlns:xm="http://schemas.microsoft.com/office/excel/2006/main">
          <x14:cfRule type="expression" priority="63" id="{F8117153-9613-4635-97D8-D4F6FE2CBAB4}">
            <xm:f>$D$20='Language table'!$D$4</xm:f>
            <x14:dxf>
              <fill>
                <patternFill>
                  <bgColor theme="0" tint="-0.14996795556505021"/>
                </patternFill>
              </fill>
            </x14:dxf>
          </x14:cfRule>
          <xm:sqref>F20:G20</xm:sqref>
        </x14:conditionalFormatting>
        <x14:conditionalFormatting xmlns:xm="http://schemas.microsoft.com/office/excel/2006/main">
          <x14:cfRule type="expression" priority="62" id="{9066DD8E-E20B-47E9-BBD5-DADFB4A960B3}">
            <xm:f>$D$21='Language table'!$D$4</xm:f>
            <x14:dxf>
              <fill>
                <patternFill>
                  <bgColor theme="0" tint="-0.14996795556505021"/>
                </patternFill>
              </fill>
            </x14:dxf>
          </x14:cfRule>
          <xm:sqref>F21:G21</xm:sqref>
        </x14:conditionalFormatting>
        <x14:conditionalFormatting xmlns:xm="http://schemas.microsoft.com/office/excel/2006/main">
          <x14:cfRule type="expression" priority="61" id="{B6F03730-DB46-487B-8F36-09FACDFF76BD}">
            <xm:f>$D$22='Language table'!$D$4</xm:f>
            <x14:dxf>
              <fill>
                <patternFill>
                  <bgColor theme="0" tint="-0.14996795556505021"/>
                </patternFill>
              </fill>
            </x14:dxf>
          </x14:cfRule>
          <xm:sqref>F22:G22</xm:sqref>
        </x14:conditionalFormatting>
        <x14:conditionalFormatting xmlns:xm="http://schemas.microsoft.com/office/excel/2006/main">
          <x14:cfRule type="expression" priority="60" id="{81DB0D47-A1DD-4512-A805-2AC48F5FD568}">
            <xm:f>$D$23='Language table'!$D$4</xm:f>
            <x14:dxf>
              <fill>
                <patternFill>
                  <bgColor theme="0" tint="-0.14996795556505021"/>
                </patternFill>
              </fill>
            </x14:dxf>
          </x14:cfRule>
          <xm:sqref>F23:G23</xm:sqref>
        </x14:conditionalFormatting>
        <x14:conditionalFormatting xmlns:xm="http://schemas.microsoft.com/office/excel/2006/main">
          <x14:cfRule type="expression" priority="59" id="{096F8327-F58C-4625-AC88-5F684004C8F4}">
            <xm:f>$D$24='Language table'!$D$4</xm:f>
            <x14:dxf>
              <fill>
                <patternFill>
                  <bgColor theme="0" tint="-0.14996795556505021"/>
                </patternFill>
              </fill>
            </x14:dxf>
          </x14:cfRule>
          <xm:sqref>F24:G24</xm:sqref>
        </x14:conditionalFormatting>
        <x14:conditionalFormatting xmlns:xm="http://schemas.microsoft.com/office/excel/2006/main">
          <x14:cfRule type="expression" priority="54" id="{4539BA40-D2CF-4E9B-9B2A-0D4BEF200A76}">
            <xm:f>AND($D$19='Language table'!$C$4,$H$19="")</xm:f>
            <x14:dxf>
              <fill>
                <patternFill>
                  <bgColor theme="0" tint="-0.14996795556505021"/>
                </patternFill>
              </fill>
            </x14:dxf>
          </x14:cfRule>
          <x14:cfRule type="expression" priority="56" id="{1B421FBA-9CA5-45C7-8732-D1A779A98882}">
            <xm:f>OR($D$19='Language table'!$D$4,$D$19='Language table'!$B$4)</xm:f>
            <x14:dxf>
              <fill>
                <patternFill>
                  <bgColor theme="0"/>
                </patternFill>
              </fill>
            </x14:dxf>
          </x14:cfRule>
          <xm:sqref>H19:I19</xm:sqref>
        </x14:conditionalFormatting>
        <x14:conditionalFormatting xmlns:xm="http://schemas.microsoft.com/office/excel/2006/main">
          <x14:cfRule type="expression" priority="47" id="{27CE2749-D7FF-4DCC-9BAD-2EF242EE31A9}">
            <xm:f>AND($D$20='Language table'!$C$4,$H$20="")</xm:f>
            <x14:dxf>
              <fill>
                <patternFill>
                  <bgColor theme="0" tint="-0.14996795556505021"/>
                </patternFill>
              </fill>
            </x14:dxf>
          </x14:cfRule>
          <x14:cfRule type="expression" priority="53" id="{B554707B-531C-4004-8FCE-50714787DC14}">
            <xm:f>OR($D$20='Language table'!$D$4,$D$20='Language table'!$B$4)</xm:f>
            <x14:dxf>
              <fill>
                <patternFill patternType="none">
                  <bgColor auto="1"/>
                </patternFill>
              </fill>
            </x14:dxf>
          </x14:cfRule>
          <xm:sqref>H20:I20</xm:sqref>
        </x14:conditionalFormatting>
        <x14:conditionalFormatting xmlns:xm="http://schemas.microsoft.com/office/excel/2006/main">
          <x14:cfRule type="expression" priority="46" id="{235192C8-2CC1-4E49-8EFA-D10FFD2E1496}">
            <xm:f>AND($D$21='Language table'!$C$4,$H$21="")</xm:f>
            <x14:dxf>
              <fill>
                <patternFill>
                  <bgColor theme="0" tint="-0.14996795556505021"/>
                </patternFill>
              </fill>
            </x14:dxf>
          </x14:cfRule>
          <x14:cfRule type="expression" priority="52" id="{FD525B20-062C-4335-B97D-A29119B8D171}">
            <xm:f>OR($D$21='Language table'!$D$4,$D$21='Language table'!$B$4)</xm:f>
            <x14:dxf>
              <fill>
                <patternFill patternType="none">
                  <bgColor auto="1"/>
                </patternFill>
              </fill>
            </x14:dxf>
          </x14:cfRule>
          <xm:sqref>H21:I21</xm:sqref>
        </x14:conditionalFormatting>
        <x14:conditionalFormatting xmlns:xm="http://schemas.microsoft.com/office/excel/2006/main">
          <x14:cfRule type="expression" priority="44" id="{8A6B2D19-E432-4BD5-A7AE-C4ED725BD1F0}">
            <xm:f>AND($D$23='Language table'!$C$4,$H$23="")</xm:f>
            <x14:dxf>
              <fill>
                <patternFill>
                  <bgColor theme="0" tint="-0.14996795556505021"/>
                </patternFill>
              </fill>
            </x14:dxf>
          </x14:cfRule>
          <x14:cfRule type="expression" priority="50" id="{11C17366-1E8A-4291-BFA3-6A6F550FFE55}">
            <xm:f>OR($D$23='Language table'!$D$4,$D$23='Language table'!$B$4)</xm:f>
            <x14:dxf>
              <fill>
                <patternFill patternType="none">
                  <bgColor auto="1"/>
                </patternFill>
              </fill>
            </x14:dxf>
          </x14:cfRule>
          <xm:sqref>H23:I23</xm:sqref>
        </x14:conditionalFormatting>
        <x14:conditionalFormatting xmlns:xm="http://schemas.microsoft.com/office/excel/2006/main">
          <x14:cfRule type="expression" priority="41" id="{1390DEAE-D81C-4C56-9D16-E7B181AF3810}">
            <xm:f>AND($D$19='Language table'!$C$4,$J$19="")</xm:f>
            <x14:dxf>
              <fill>
                <patternFill>
                  <bgColor theme="0" tint="-0.14996795556505021"/>
                </patternFill>
              </fill>
            </x14:dxf>
          </x14:cfRule>
          <xm:sqref>J19:K19</xm:sqref>
        </x14:conditionalFormatting>
        <x14:conditionalFormatting xmlns:xm="http://schemas.microsoft.com/office/excel/2006/main">
          <x14:cfRule type="expression" priority="40" id="{70B01829-D34F-4519-85AD-FD517C4CA08F}">
            <xm:f>AND($D$20='Language table'!$C$4,$J$20="")</xm:f>
            <x14:dxf>
              <fill>
                <patternFill>
                  <bgColor theme="0" tint="-0.14996795556505021"/>
                </patternFill>
              </fill>
            </x14:dxf>
          </x14:cfRule>
          <xm:sqref>J20:K20</xm:sqref>
        </x14:conditionalFormatting>
        <x14:conditionalFormatting xmlns:xm="http://schemas.microsoft.com/office/excel/2006/main">
          <x14:cfRule type="expression" priority="39" id="{98AF8052-1965-45AE-B44E-B6F837F3AF26}">
            <xm:f>AND($D$21='Language table'!$C$4,$J$21="")</xm:f>
            <x14:dxf>
              <fill>
                <patternFill>
                  <bgColor theme="0" tint="-0.14996795556505021"/>
                </patternFill>
              </fill>
            </x14:dxf>
          </x14:cfRule>
          <xm:sqref>J21:K21</xm:sqref>
        </x14:conditionalFormatting>
        <x14:conditionalFormatting xmlns:xm="http://schemas.microsoft.com/office/excel/2006/main">
          <x14:cfRule type="expression" priority="38" id="{7275A5A3-AF31-4A98-BF4C-DA2630EC505B}">
            <xm:f>AND($D$22='Language table'!$C$4,$J$22="")</xm:f>
            <x14:dxf>
              <fill>
                <patternFill>
                  <bgColor theme="0" tint="-0.14996795556505021"/>
                </patternFill>
              </fill>
            </x14:dxf>
          </x14:cfRule>
          <xm:sqref>J22:K22</xm:sqref>
        </x14:conditionalFormatting>
        <x14:conditionalFormatting xmlns:xm="http://schemas.microsoft.com/office/excel/2006/main">
          <x14:cfRule type="expression" priority="36" id="{09847DF7-797C-48B9-BB2E-CAA015A6C07E}">
            <xm:f>AND($D$23='Language table'!$C$4,$J$23="")</xm:f>
            <x14:dxf>
              <fill>
                <patternFill>
                  <bgColor theme="0" tint="-0.14996795556505021"/>
                </patternFill>
              </fill>
            </x14:dxf>
          </x14:cfRule>
          <xm:sqref>J23:K23</xm:sqref>
        </x14:conditionalFormatting>
        <x14:conditionalFormatting xmlns:xm="http://schemas.microsoft.com/office/excel/2006/main">
          <x14:cfRule type="expression" priority="35" id="{77CD0FEF-81C7-44AD-A62E-2E8FF960F632}">
            <xm:f>AND($D$24='Language table'!$C$4,$J$24="")</xm:f>
            <x14:dxf>
              <fill>
                <patternFill>
                  <bgColor theme="0" tint="-0.14996795556505021"/>
                </patternFill>
              </fill>
            </x14:dxf>
          </x14:cfRule>
          <xm:sqref>J24:K24</xm:sqref>
        </x14:conditionalFormatting>
        <x14:conditionalFormatting xmlns:xm="http://schemas.microsoft.com/office/excel/2006/main">
          <x14:cfRule type="expression" priority="26" id="{C78F8925-B613-4DEE-A0CE-83096BF88ABE}">
            <xm:f>AND($D$6='Language table'!$C$4,$I$6="")</xm:f>
            <x14:dxf>
              <fill>
                <patternFill>
                  <bgColor theme="0" tint="-0.14996795556505021"/>
                </patternFill>
              </fill>
            </x14:dxf>
          </x14:cfRule>
          <xm:sqref>I6 J6</xm:sqref>
        </x14:conditionalFormatting>
        <x14:conditionalFormatting xmlns:xm="http://schemas.microsoft.com/office/excel/2006/main">
          <x14:cfRule type="expression" priority="25" id="{3D448637-6C7C-4627-B864-41EEAC48D4B5}">
            <xm:f>AND($D$7='Language table'!$C$4,$I$7="")</xm:f>
            <x14:dxf>
              <fill>
                <patternFill>
                  <bgColor theme="0" tint="-0.14996795556505021"/>
                </patternFill>
              </fill>
            </x14:dxf>
          </x14:cfRule>
          <xm:sqref>I7 J7</xm:sqref>
        </x14:conditionalFormatting>
        <x14:conditionalFormatting xmlns:xm="http://schemas.microsoft.com/office/excel/2006/main">
          <x14:cfRule type="expression" priority="30" id="{755E8BDE-7644-4383-A4A3-BFEC06AD9DD8}">
            <xm:f>AND($D$5='Language table'!$C$4,$I$5="")</xm:f>
            <x14:dxf>
              <fill>
                <patternFill>
                  <bgColor theme="0" tint="-0.14996795556505021"/>
                </patternFill>
              </fill>
            </x14:dxf>
          </x14:cfRule>
          <xm:sqref>I5:J5</xm:sqref>
        </x14:conditionalFormatting>
        <x14:conditionalFormatting xmlns:xm="http://schemas.microsoft.com/office/excel/2006/main">
          <x14:cfRule type="expression" priority="29" id="{05DE24AD-42CD-4FB7-9EC7-EA1175B78B7F}">
            <xm:f>$D$5&lt;&gt;'Language table'!$C$4</xm:f>
            <x14:dxf>
              <font>
                <color theme="0"/>
              </font>
            </x14:dxf>
          </x14:cfRule>
          <xm:sqref>K5</xm:sqref>
        </x14:conditionalFormatting>
        <x14:conditionalFormatting xmlns:xm="http://schemas.microsoft.com/office/excel/2006/main">
          <x14:cfRule type="expression" priority="28" id="{23061240-5009-4A74-87EF-CFF37079DE26}">
            <xm:f>$D$6&lt;&gt;'Language table'!$C$4</xm:f>
            <x14:dxf>
              <font>
                <color theme="0"/>
              </font>
            </x14:dxf>
          </x14:cfRule>
          <xm:sqref>K6</xm:sqref>
        </x14:conditionalFormatting>
        <x14:conditionalFormatting xmlns:xm="http://schemas.microsoft.com/office/excel/2006/main">
          <x14:cfRule type="expression" priority="27" id="{F2154A54-586E-4E94-BE46-C82E2DB2A800}">
            <xm:f>$D$7&lt;&gt;'Language table'!$C$4</xm:f>
            <x14:dxf>
              <font>
                <color theme="0"/>
              </font>
            </x14:dxf>
          </x14:cfRule>
          <xm:sqref>K7</xm:sqref>
        </x14:conditionalFormatting>
        <x14:conditionalFormatting xmlns:xm="http://schemas.microsoft.com/office/excel/2006/main">
          <x14:cfRule type="cellIs" priority="15" operator="equal" id="{7A17E39B-CE49-4397-B3A3-24D0B6C28A31}">
            <xm:f>'Language table'!$B$3</xm:f>
            <x14:dxf>
              <fill>
                <patternFill>
                  <bgColor theme="0" tint="-0.14996795556505021"/>
                </patternFill>
              </fill>
            </x14:dxf>
          </x14:cfRule>
          <xm:sqref>D26:E27</xm:sqref>
        </x14:conditionalFormatting>
        <x14:conditionalFormatting xmlns:xm="http://schemas.microsoft.com/office/excel/2006/main">
          <x14:cfRule type="expression" priority="229" id="{AF23D6CC-4612-4AF5-823F-218CB54A1375}">
            <xm:f>$D$27='Language table'!$D$4</xm:f>
            <x14:dxf>
              <fill>
                <patternFill>
                  <bgColor theme="0" tint="-0.14996795556505021"/>
                </patternFill>
              </fill>
            </x14:dxf>
          </x14:cfRule>
          <xm:sqref>F27:G27</xm:sqref>
        </x14:conditionalFormatting>
        <x14:conditionalFormatting xmlns:xm="http://schemas.microsoft.com/office/excel/2006/main">
          <x14:cfRule type="expression" priority="14" id="{6C0CF89A-1F65-4D59-999C-926814C03184}">
            <xm:f>AND($D$27='Language table'!$C$4,$J$27="")</xm:f>
            <x14:dxf>
              <fill>
                <patternFill>
                  <bgColor theme="0" tint="-0.14996795556505021"/>
                </patternFill>
              </fill>
            </x14:dxf>
          </x14:cfRule>
          <xm:sqref>J27:K27</xm:sqref>
        </x14:conditionalFormatting>
        <x14:conditionalFormatting xmlns:xm="http://schemas.microsoft.com/office/excel/2006/main">
          <x14:cfRule type="expression" priority="57" id="{A6F2ECAE-6125-47EA-9F07-6036B47BC699}">
            <xm:f>$D$25='Language table'!$D$4</xm:f>
            <x14:dxf>
              <fill>
                <patternFill>
                  <bgColor theme="0" tint="-0.14996795556505021"/>
                </patternFill>
              </fill>
            </x14:dxf>
          </x14:cfRule>
          <xm:sqref>F25:G25</xm:sqref>
        </x14:conditionalFormatting>
        <x14:conditionalFormatting xmlns:xm="http://schemas.microsoft.com/office/excel/2006/main">
          <x14:cfRule type="expression" priority="43" id="{D193C6AE-7CF9-4B48-A8F3-9B2316A9E350}">
            <xm:f>AND($D$24='Language table'!$C$4,$H$24="")</xm:f>
            <x14:dxf>
              <fill>
                <patternFill>
                  <bgColor theme="0" tint="-0.14996795556505021"/>
                </patternFill>
              </fill>
            </x14:dxf>
          </x14:cfRule>
          <x14:cfRule type="expression" priority="49" id="{21C29578-47F9-49B6-9AA7-5971C7CDD031}">
            <xm:f>OR($D$24='Language table'!$D$4,$D$24='Language table'!$B$4)</xm:f>
            <x14:dxf>
              <fill>
                <patternFill patternType="none">
                  <bgColor auto="1"/>
                </patternFill>
              </fill>
            </x14:dxf>
          </x14:cfRule>
          <xm:sqref>H24:I24</xm:sqref>
        </x14:conditionalFormatting>
        <x14:conditionalFormatting xmlns:xm="http://schemas.microsoft.com/office/excel/2006/main">
          <x14:cfRule type="expression" priority="6" id="{2491043D-66F6-4CC3-996B-4AE9A5B61FC2}">
            <xm:f>AND($D$25='Language table'!$C$4,$H$25="")</xm:f>
            <x14:dxf>
              <fill>
                <patternFill>
                  <bgColor theme="0" tint="-0.14996795556505021"/>
                </patternFill>
              </fill>
            </x14:dxf>
          </x14:cfRule>
          <x14:cfRule type="expression" priority="7" id="{F5B5BF7E-6872-4A2A-BB71-01E61796C876}">
            <xm:f>OR($D$25='Language table'!$D$4,$D$25='Language table'!$B$4)</xm:f>
            <x14:dxf>
              <fill>
                <patternFill>
                  <bgColor theme="0"/>
                </patternFill>
              </fill>
            </x14:dxf>
          </x14:cfRule>
          <xm:sqref>H25:I25</xm:sqref>
        </x14:conditionalFormatting>
        <x14:conditionalFormatting xmlns:xm="http://schemas.microsoft.com/office/excel/2006/main">
          <x14:cfRule type="expression" priority="5" id="{A2BA9BD1-1C0C-4526-9B5C-B797CA2C609A}">
            <xm:f>AND($D$25='Language table'!$C$4,$J$25="")</xm:f>
            <x14:dxf>
              <fill>
                <patternFill>
                  <bgColor theme="0" tint="-0.14996795556505021"/>
                </patternFill>
              </fill>
            </x14:dxf>
          </x14:cfRule>
          <xm:sqref>J25:K25</xm:sqref>
        </x14:conditionalFormatting>
        <x14:conditionalFormatting xmlns:xm="http://schemas.microsoft.com/office/excel/2006/main">
          <x14:cfRule type="expression" priority="16" id="{922BB91E-CF60-4BC5-A194-28B02DCD2816}">
            <xm:f>AND($D$27='Language table'!$C$4,$H$27="")</xm:f>
            <x14:dxf>
              <fill>
                <patternFill>
                  <bgColor theme="0" tint="-0.14996795556505021"/>
                </patternFill>
              </fill>
            </x14:dxf>
          </x14:cfRule>
          <x14:cfRule type="expression" priority="94" id="{EA1D02FB-9B71-4013-B65B-DFE192CD86F6}">
            <xm:f>OR($D$27='Language table'!$D$4,$D$27='Language table'!$B$4)</xm:f>
            <x14:dxf>
              <fill>
                <patternFill patternType="none">
                  <bgColor auto="1"/>
                </patternFill>
              </fill>
            </x14:dxf>
          </x14:cfRule>
          <xm:sqref>H27:I27</xm:sqref>
        </x14:conditionalFormatting>
        <x14:conditionalFormatting xmlns:xm="http://schemas.microsoft.com/office/excel/2006/main">
          <x14:cfRule type="expression" priority="1" id="{ED4628AE-507C-49DB-A4CC-C1D462B48FD6}">
            <xm:f>AND($D$26='Language table'!$C$4,$H$26="")</xm:f>
            <x14:dxf>
              <fill>
                <patternFill>
                  <bgColor theme="0" tint="-0.14996795556505021"/>
                </patternFill>
              </fill>
            </x14:dxf>
          </x14:cfRule>
          <x14:cfRule type="expression" priority="4" id="{4D76ED12-86EF-4ACB-9ADD-65A71DD30CE2}">
            <xm:f>OR($D$26='Language table'!$D$4,$D$26='Language table'!$B$4)</xm:f>
            <x14:dxf>
              <fill>
                <patternFill>
                  <bgColor theme="0"/>
                </patternFill>
              </fill>
            </x14:dxf>
          </x14:cfRule>
          <xm:sqref>H26:I26</xm:sqref>
        </x14:conditionalFormatting>
        <x14:conditionalFormatting xmlns:xm="http://schemas.microsoft.com/office/excel/2006/main">
          <x14:cfRule type="expression" priority="74" id="{B23740E7-C88F-4969-99F3-1DE392413209}">
            <xm:f>AND($D$26='Language table'!$C$4,$J$26="")</xm:f>
            <x14:dxf>
              <fill>
                <patternFill>
                  <bgColor theme="0" tint="-0.14996795556505021"/>
                </patternFill>
              </fill>
            </x14:dxf>
          </x14:cfRule>
          <xm:sqref>J26:K26</xm:sqref>
        </x14:conditionalFormatting>
        <x14:conditionalFormatting xmlns:xm="http://schemas.microsoft.com/office/excel/2006/main">
          <x14:cfRule type="expression" priority="12" id="{BCA9989A-F188-40DB-8134-0C0EE2048424}">
            <xm:f>$D$26='Language table'!$D$4</xm:f>
            <x14:dxf>
              <fill>
                <patternFill>
                  <bgColor theme="0" tint="-0.14996795556505021"/>
                </patternFill>
              </fill>
            </x14:dxf>
          </x14:cfRule>
          <xm:sqref>F26:G26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showGridLines="0" zoomScale="85" zoomScaleNormal="85" zoomScalePageLayoutView="110" workbookViewId="0">
      <selection activeCell="L25" sqref="L25"/>
    </sheetView>
  </sheetViews>
  <sheetFormatPr baseColWidth="10" defaultColWidth="9.140625" defaultRowHeight="12.75"/>
  <cols>
    <col min="1" max="1" width="6.28515625" style="14" customWidth="1"/>
    <col min="2" max="2" width="8.7109375" style="14" customWidth="1"/>
    <col min="3" max="5" width="25.7109375" style="14" customWidth="1"/>
    <col min="6" max="6" width="23.140625" style="14" customWidth="1"/>
    <col min="7" max="10" width="9.140625" style="14"/>
    <col min="11" max="11" width="14.7109375" style="14" customWidth="1"/>
    <col min="12" max="12" width="16.7109375" style="14" customWidth="1"/>
    <col min="13" max="16384" width="9.140625" style="14"/>
  </cols>
  <sheetData>
    <row r="1" spans="1:8" ht="42.75" customHeight="1" thickBot="1">
      <c r="A1" s="488" t="str">
        <f>HLOOKUP(Language,Translation,2)</f>
        <v>Empfehlungsbogen</v>
      </c>
      <c r="B1" s="489"/>
      <c r="C1" s="489"/>
      <c r="D1" s="489"/>
      <c r="E1" s="489"/>
      <c r="F1" s="13"/>
    </row>
    <row r="2" spans="1:8" ht="8.25" customHeight="1" thickBot="1">
      <c r="A2" s="15"/>
      <c r="B2" s="15"/>
      <c r="C2" s="15"/>
      <c r="D2" s="15"/>
      <c r="E2" s="15"/>
      <c r="F2" s="16"/>
    </row>
    <row r="3" spans="1:8" s="167" customFormat="1" ht="50.1" customHeight="1" thickBot="1">
      <c r="A3" s="490" t="str">
        <f>HLOOKUP(Language,Translation,109)</f>
        <v>5. Bewertung HSE- / Energie- / Informatinssicherheit Management</v>
      </c>
      <c r="B3" s="491"/>
      <c r="C3" s="491"/>
      <c r="D3" s="491"/>
      <c r="E3" s="491"/>
      <c r="F3" s="492"/>
      <c r="H3" s="168"/>
    </row>
    <row r="4" spans="1:8" ht="8.25" customHeight="1" thickBot="1">
      <c r="A4" s="485"/>
      <c r="B4" s="485"/>
      <c r="C4" s="485"/>
      <c r="D4" s="485"/>
      <c r="E4" s="485"/>
      <c r="F4" s="485"/>
    </row>
    <row r="5" spans="1:8" ht="15.75" customHeight="1">
      <c r="A5" s="169">
        <v>1</v>
      </c>
      <c r="B5" s="486" t="str">
        <f>HLOOKUP(Language,Translation,110)</f>
        <v>Informationen über Umwelt / Sicherheit / Energie / Informationssicherheit Management im Unternehmen</v>
      </c>
      <c r="C5" s="486"/>
      <c r="D5" s="486"/>
      <c r="E5" s="486"/>
      <c r="F5" s="487"/>
      <c r="G5" s="165"/>
      <c r="H5" s="165"/>
    </row>
    <row r="6" spans="1:8" s="17" customFormat="1" ht="15.75" customHeight="1" thickBot="1">
      <c r="A6" s="189"/>
      <c r="B6" s="495" t="str">
        <f>HLOOKUP(Language,Translation,80)</f>
        <v>*Bitte fügen Sie eine Kopie der Management-Zertifikate bei (PDF)</v>
      </c>
      <c r="C6" s="495"/>
      <c r="D6" s="495"/>
      <c r="E6" s="495"/>
      <c r="F6" s="496"/>
      <c r="G6" s="40"/>
      <c r="H6" s="40"/>
    </row>
    <row r="7" spans="1:8" s="17" customFormat="1" ht="12.75" customHeight="1">
      <c r="A7" s="494" t="s">
        <v>28</v>
      </c>
      <c r="B7" s="474" t="str">
        <f>HLOOKUP(Language,Translation,111)</f>
        <v>Umwelt Management System (z.B. ISO 14001, EMAS III)</v>
      </c>
      <c r="C7" s="474"/>
      <c r="D7" s="474"/>
      <c r="E7" s="474"/>
      <c r="F7" s="589" t="str" cm="1">
        <f t="array" ref="F7:G7">'B Financial &amp; C Quality'!D23:E23</f>
        <v>Please select!</v>
      </c>
      <c r="G7" s="281">
        <v>0</v>
      </c>
      <c r="H7" s="40"/>
    </row>
    <row r="8" spans="1:8" s="17" customFormat="1" ht="12.75" customHeight="1">
      <c r="A8" s="494"/>
      <c r="B8" s="474"/>
      <c r="C8" s="474"/>
      <c r="D8" s="474"/>
      <c r="E8" s="474"/>
      <c r="F8" s="280" t="str">
        <f>IF(F7='Language table'!$D$4,HLOOKUP(Language,Translation,114),IF(F7='Language table'!$C$4,HLOOKUP(Language,Translation,192),""))</f>
        <v/>
      </c>
      <c r="G8" s="281"/>
      <c r="H8" s="40"/>
    </row>
    <row r="9" spans="1:8" s="17" customFormat="1" ht="12.75" customHeight="1">
      <c r="A9" s="494" t="s">
        <v>30</v>
      </c>
      <c r="B9" s="474" t="str">
        <f>HLOOKUP(Language,Translation,112)</f>
        <v>Gesundheits &amp; Sicherheits Management System (z.B. ISO 45001 (vormals OHSAS 18001), ANSI Z10, CSA Z1000, BS 8800, OSHA VPP)</v>
      </c>
      <c r="C9" s="474"/>
      <c r="D9" s="474"/>
      <c r="E9" s="474"/>
      <c r="F9" s="590" t="str" cm="1">
        <f t="array" ref="F9:G9">'B Financial &amp; C Quality'!D24:E24</f>
        <v>Please select!</v>
      </c>
      <c r="G9" s="281">
        <v>0</v>
      </c>
      <c r="H9" s="40"/>
    </row>
    <row r="10" spans="1:8" s="17" customFormat="1" ht="12.75" customHeight="1">
      <c r="A10" s="494"/>
      <c r="B10" s="474"/>
      <c r="C10" s="474"/>
      <c r="D10" s="474"/>
      <c r="E10" s="474"/>
      <c r="F10" s="280" t="str">
        <f>IF(F9='Language table'!$D$4,HLOOKUP(Language,Translation,115),IF(F9='Language table'!$C$4,HLOOKUP(Language,Translation,193),""))</f>
        <v/>
      </c>
      <c r="G10" s="281"/>
      <c r="H10" s="40"/>
    </row>
    <row r="11" spans="1:8" s="17" customFormat="1" ht="12.75" customHeight="1">
      <c r="A11" s="494" t="s">
        <v>32</v>
      </c>
      <c r="B11" s="474" t="str">
        <f>HLOOKUP(Language,Translation,113)</f>
        <v>Energie Management System (z.B. ISO 50001)</v>
      </c>
      <c r="C11" s="474"/>
      <c r="D11" s="474"/>
      <c r="E11" s="474"/>
      <c r="F11" s="590" t="str" cm="1">
        <f t="array" ref="F11:G11">'B Financial &amp; C Quality'!D25:E25</f>
        <v>Please select!</v>
      </c>
      <c r="G11" s="281">
        <v>0</v>
      </c>
      <c r="H11" s="40"/>
    </row>
    <row r="12" spans="1:8" s="17" customFormat="1" ht="12.75" customHeight="1">
      <c r="A12" s="494"/>
      <c r="B12" s="474"/>
      <c r="C12" s="474"/>
      <c r="D12" s="474"/>
      <c r="E12" s="474"/>
      <c r="F12" s="280" t="str">
        <f>IF(F11='Language table'!$D$4,HLOOKUP(Language,Translation,116),IF(F11='Language table'!$C$4,HLOOKUP(Language,Translation,194),""))</f>
        <v/>
      </c>
      <c r="G12" s="281"/>
      <c r="H12" s="40"/>
    </row>
    <row r="13" spans="1:8" s="17" customFormat="1" ht="12.75" customHeight="1">
      <c r="A13" s="472" t="s">
        <v>1299</v>
      </c>
      <c r="B13" s="474" t="str">
        <f>IF(AND('B Financial &amp; C Quality'!D26='Language table'!C4,'B Financial &amp; C Quality'!D27='Language table'!D4),HLOOKUP(Language,Translation,253),IF(AND('B Financial &amp; C Quality'!D27='Language table'!C4,'B Financial &amp; C Quality'!D26='Language table'!D4),HLOOKUP(Language,Translation,262),HLOOKUP(Language,Translation,253)&amp;" &amp; "&amp;HLOOKUP(Language,Translation,262)))</f>
        <v>TISAX Verfahren &amp; ISO/IEC 27001</v>
      </c>
      <c r="C13" s="474"/>
      <c r="D13" s="474"/>
      <c r="E13" s="474"/>
      <c r="F13" s="591" t="str" cm="1">
        <f t="array" ref="F13:G13">'B Financial &amp; C Quality'!D26:E26</f>
        <v>Please select!</v>
      </c>
      <c r="G13" s="281">
        <v>0</v>
      </c>
      <c r="H13" s="40"/>
    </row>
    <row r="14" spans="1:8" s="17" customFormat="1" ht="13.5" customHeight="1" thickBot="1">
      <c r="A14" s="473"/>
      <c r="B14" s="475"/>
      <c r="C14" s="475"/>
      <c r="D14" s="475"/>
      <c r="E14" s="475"/>
      <c r="F14" s="279" t="str">
        <f>IF(F13='Language table'!$D$4,HLOOKUP(Language,Translation,254),IF(F13='Language table'!$C$4,HLOOKUP(Language,Translation,255),""))</f>
        <v/>
      </c>
      <c r="G14" s="40"/>
      <c r="H14" s="40"/>
    </row>
    <row r="15" spans="1:8" s="19" customFormat="1" ht="8.25" customHeight="1" thickBot="1">
      <c r="A15" s="18"/>
      <c r="B15" s="480"/>
      <c r="C15" s="480"/>
      <c r="D15" s="480"/>
      <c r="E15" s="493"/>
      <c r="F15" s="493"/>
      <c r="G15" s="282"/>
      <c r="H15" s="282"/>
    </row>
    <row r="16" spans="1:8" s="20" customFormat="1" ht="24" customHeight="1" thickBot="1">
      <c r="A16" s="170">
        <v>2</v>
      </c>
      <c r="B16" s="476" t="str">
        <f>HLOOKUP(Language,Translation,117)</f>
        <v>Umwelt</v>
      </c>
      <c r="C16" s="476"/>
      <c r="D16" s="476"/>
      <c r="E16" s="476"/>
      <c r="F16" s="477"/>
      <c r="G16" s="283"/>
      <c r="H16" s="283"/>
    </row>
    <row r="17" spans="1:8">
      <c r="A17" s="206" t="s">
        <v>27</v>
      </c>
      <c r="B17" s="497" t="str">
        <f>HLOOKUP(Language,Translation,118)</f>
        <v>Hat Ihr Unternehmen eine Umweltrichtlinie oer eine Umweltpolitik? (wenn ja, bitte Kopie beifügen)</v>
      </c>
      <c r="C17" s="497"/>
      <c r="D17" s="481"/>
      <c r="E17" s="481"/>
      <c r="F17" s="211" t="s">
        <v>113</v>
      </c>
      <c r="G17" s="165"/>
      <c r="H17" s="165"/>
    </row>
    <row r="18" spans="1:8" ht="38.25" customHeight="1">
      <c r="A18" s="207" t="s">
        <v>29</v>
      </c>
      <c r="B18" s="470" t="str">
        <f>HLOOKUP(Language,Translation,119)</f>
        <v>Haben Sie einen Prozess zur Kontrolle und Einhaltung der relevanten gesetzlichen Vorschriften, freiwilliger Vereinbarungen mit Kunden, Behörden, Verbänden oder eigenen unternehmensspezifischen Anforderungen implementiert? (z.B. regelmäßige Audits)</v>
      </c>
      <c r="C18" s="470"/>
      <c r="D18" s="470"/>
      <c r="E18" s="470"/>
      <c r="F18" s="212" t="s">
        <v>113</v>
      </c>
    </row>
    <row r="19" spans="1:8" ht="26.1" customHeight="1">
      <c r="A19" s="207" t="s">
        <v>31</v>
      </c>
      <c r="B19" s="470" t="str">
        <f>HLOOKUP(Language,Translation,120)</f>
        <v>Hat Ihr Unternehmen einen Prozess zur kontinuierlichen Verbesserung der Umweltleistung implementiert? (Programm/Ziele)</v>
      </c>
      <c r="C19" s="470"/>
      <c r="D19" s="470"/>
      <c r="E19" s="470"/>
      <c r="F19" s="212" t="s">
        <v>113</v>
      </c>
    </row>
    <row r="20" spans="1:8">
      <c r="A20" s="207" t="s">
        <v>33</v>
      </c>
      <c r="B20" s="470" t="str">
        <f>HLOOKUP(Language,Translation,121)</f>
        <v>Erhalten Ihre Mitarbeiter regelmäßig Umweltschulungen?</v>
      </c>
      <c r="C20" s="470"/>
      <c r="D20" s="470"/>
      <c r="E20" s="470"/>
      <c r="F20" s="212" t="s">
        <v>113</v>
      </c>
    </row>
    <row r="21" spans="1:8" ht="13.5" thickBot="1">
      <c r="A21" s="208" t="s">
        <v>34</v>
      </c>
      <c r="B21" s="471" t="str">
        <f>HLOOKUP(Language,Translation,122)</f>
        <v>Hat sich die Umweltleistung Ihres Unternehmens im letzten Jahr verbessert?</v>
      </c>
      <c r="C21" s="471"/>
      <c r="D21" s="471"/>
      <c r="E21" s="471"/>
      <c r="F21" s="213" t="s">
        <v>113</v>
      </c>
    </row>
    <row r="22" spans="1:8" ht="8.25" customHeight="1" thickBot="1"/>
    <row r="23" spans="1:8" ht="24" customHeight="1" thickBot="1">
      <c r="A23" s="170">
        <v>3</v>
      </c>
      <c r="B23" s="476" t="str">
        <f>HLOOKUP(Language,Translation,123)</f>
        <v>Sicherheit</v>
      </c>
      <c r="C23" s="476"/>
      <c r="D23" s="476"/>
      <c r="E23" s="476"/>
      <c r="F23" s="477"/>
    </row>
    <row r="24" spans="1:8" ht="30" customHeight="1">
      <c r="A24" s="206" t="s">
        <v>35</v>
      </c>
      <c r="B24" s="481" t="str">
        <f>HLOOKUP(Language,Translation,124)</f>
        <v>Hat Ihr Unternehmen Gesundheits- und Sicherheitsrichtlinien oder eine Gesundheits- und Sicherheitspolitik? (wenn ja, bitte Kopie beifügen)</v>
      </c>
      <c r="C24" s="481"/>
      <c r="D24" s="481"/>
      <c r="E24" s="481"/>
      <c r="F24" s="211" t="s">
        <v>113</v>
      </c>
    </row>
    <row r="25" spans="1:8" ht="43.5" customHeight="1">
      <c r="A25" s="207" t="s">
        <v>36</v>
      </c>
      <c r="B25" s="470" t="str">
        <f>HLOOKUP(Language,Translation,125)</f>
        <v>Haben Sie einen Prozess zur Kontrolle und Einhaltung relevanter gesetzlicher Vorschriften, freiwilliger Vereinbarungen mit Mitarbeitern, Gesundheitsbehörden, Kunden oder eigener unternehmensspezifischer Anforderungen implementiert? (z.B. regelmäßige Audits)</v>
      </c>
      <c r="C25" s="470"/>
      <c r="D25" s="470"/>
      <c r="E25" s="470"/>
      <c r="F25" s="212" t="s">
        <v>113</v>
      </c>
    </row>
    <row r="26" spans="1:8" ht="26.1" customHeight="1">
      <c r="A26" s="207" t="s">
        <v>39</v>
      </c>
      <c r="B26" s="470" t="str">
        <f>HLOOKUP(Language,Translation,126)</f>
        <v>Hat Ihr Unternehmen einen Prozess zur kontinuierlichen Verbesserung der Gesundheits- und Sicherheitsperformance implementiert? (Programm/Ziele)</v>
      </c>
      <c r="C26" s="470"/>
      <c r="D26" s="470"/>
      <c r="E26" s="470"/>
      <c r="F26" s="212" t="s">
        <v>113</v>
      </c>
    </row>
    <row r="27" spans="1:8">
      <c r="A27" s="207" t="s">
        <v>92</v>
      </c>
      <c r="B27" s="470" t="str">
        <f>HLOOKUP(Language,Translation,127)</f>
        <v>Erhalten Ihre Mitarbeiter regelmäßig Schulungen zum Thema Gesundheit und Sicherheit?</v>
      </c>
      <c r="C27" s="470"/>
      <c r="D27" s="470"/>
      <c r="E27" s="470"/>
      <c r="F27" s="212" t="s">
        <v>113</v>
      </c>
    </row>
    <row r="28" spans="1:8" ht="26.1" customHeight="1" thickBot="1">
      <c r="A28" s="208" t="s">
        <v>91</v>
      </c>
      <c r="B28" s="471" t="str">
        <f>HLOOKUP(Language,Translation,128)</f>
        <v>Hat sich die Leistung Ihres Unternehmens im Bereich Gesundheit und Sicherheit im letzten Jahr verbessert?</v>
      </c>
      <c r="C28" s="471"/>
      <c r="D28" s="471"/>
      <c r="E28" s="471"/>
      <c r="F28" s="213" t="s">
        <v>113</v>
      </c>
    </row>
    <row r="29" spans="1:8" ht="13.5" thickBot="1"/>
    <row r="30" spans="1:8" ht="24" customHeight="1" thickBot="1">
      <c r="A30" s="170">
        <v>4</v>
      </c>
      <c r="B30" s="476" t="str">
        <f>HLOOKUP(Language,Translation,129)</f>
        <v>Energie</v>
      </c>
      <c r="C30" s="476"/>
      <c r="D30" s="476"/>
      <c r="E30" s="476"/>
      <c r="F30" s="477"/>
    </row>
    <row r="31" spans="1:8">
      <c r="A31" s="206" t="s">
        <v>37</v>
      </c>
      <c r="B31" s="481" t="str">
        <f>HLOOKUP(Language,Translation,130)</f>
        <v>Hat Ihr Unternehmen eine Energierichtlinie oder -politik? (wenn ja, bitte Kopie beifügen)</v>
      </c>
      <c r="C31" s="481"/>
      <c r="D31" s="481"/>
      <c r="E31" s="481"/>
      <c r="F31" s="211" t="s">
        <v>113</v>
      </c>
    </row>
    <row r="32" spans="1:8" ht="26.1" customHeight="1">
      <c r="A32" s="207" t="s">
        <v>41</v>
      </c>
      <c r="B32" s="470" t="str">
        <f>HLOOKUP(Language,Translation,131)</f>
        <v>Haben Sie einen Prozess zur Kontrolle und Einhaltung der relevanten gesetzlichen Vorschriften, freiwilligen Vereinbarungen mit Kunden etc. implementiert? (z.B. Vor-Ort-Prüfungen, Audits)</v>
      </c>
      <c r="C32" s="470"/>
      <c r="D32" s="470"/>
      <c r="E32" s="470"/>
      <c r="F32" s="212" t="s">
        <v>113</v>
      </c>
    </row>
    <row r="33" spans="1:6" s="144" customFormat="1" ht="26.1" customHeight="1">
      <c r="A33" s="207" t="s">
        <v>42</v>
      </c>
      <c r="B33" s="470" t="str">
        <f>HLOOKUP(Language,Translation,132)</f>
        <v>Hat Ihr Unternehmen einen Prozess zur kontinuierlichen Verbesserung der energiebezogenen Leistung implementiert? (Programm/Ziele)</v>
      </c>
      <c r="C33" s="470"/>
      <c r="D33" s="470"/>
      <c r="E33" s="470"/>
      <c r="F33" s="212" t="s">
        <v>113</v>
      </c>
    </row>
    <row r="34" spans="1:6">
      <c r="A34" s="207" t="s">
        <v>43</v>
      </c>
      <c r="B34" s="470" t="str">
        <f>HLOOKUP(Language,Translation,133)</f>
        <v>Erhalten Ihre Mitarbeiter regelmäßige Schulungen zum Thema Energie/Energieeinsparung?</v>
      </c>
      <c r="C34" s="470"/>
      <c r="D34" s="470"/>
      <c r="E34" s="470"/>
      <c r="F34" s="212" t="s">
        <v>113</v>
      </c>
    </row>
    <row r="35" spans="1:6" ht="26.1" customHeight="1" thickBot="1">
      <c r="A35" s="208" t="s">
        <v>38</v>
      </c>
      <c r="B35" s="471" t="str">
        <f>HLOOKUP(Language,Translation,134)</f>
        <v>Hat sich die energiebezogene Leistung Ihres Unternehmens im letzten Jahr in Prozessen verbessert, die für die an BENTELER zu liefernden Produkte relevant sind?</v>
      </c>
      <c r="C35" s="471"/>
      <c r="D35" s="471"/>
      <c r="E35" s="471"/>
      <c r="F35" s="213" t="s">
        <v>113</v>
      </c>
    </row>
    <row r="36" spans="1:6" ht="13.5" thickBot="1"/>
    <row r="37" spans="1:6" ht="24" customHeight="1" thickBot="1">
      <c r="A37" s="202">
        <v>5</v>
      </c>
      <c r="B37" s="476" t="str">
        <f>HLOOKUP(Language,Translation,256)</f>
        <v>Informationssicherheit</v>
      </c>
      <c r="C37" s="476"/>
      <c r="D37" s="476"/>
      <c r="E37" s="476"/>
      <c r="F37" s="477"/>
    </row>
    <row r="38" spans="1:6" ht="26.1" customHeight="1">
      <c r="A38" s="210" t="s">
        <v>40</v>
      </c>
      <c r="B38" s="478" t="str">
        <f>HLOOKUP(Language,Translation,257)</f>
        <v>Hat Ihr Unternehmen Verfahren zur Einhaltung der Bestimmungen der EU-DSGVO eingeführt?</v>
      </c>
      <c r="C38" s="478"/>
      <c r="D38" s="478"/>
      <c r="E38" s="478"/>
      <c r="F38" s="231" t="s">
        <v>113</v>
      </c>
    </row>
    <row r="39" spans="1:6" ht="38.25" customHeight="1">
      <c r="A39" s="209" t="s">
        <v>1302</v>
      </c>
      <c r="B39" s="479" t="str">
        <f>HLOOKUP(Language,Translation,258)</f>
        <v>Haben Sie einen Prozess zur Kontrolle und Einhaltung der relevanten gesetzlichen Vorschriften, freiwilligen Vereinbarungen mit Kunden etc. implementiert? (Audits nach SOC 2, ISA 3402 und/oder IT Grundschutz BSI)</v>
      </c>
      <c r="C39" s="479"/>
      <c r="D39" s="479"/>
      <c r="E39" s="479"/>
      <c r="F39" s="214" t="s">
        <v>113</v>
      </c>
    </row>
    <row r="40" spans="1:6" ht="31.5" customHeight="1">
      <c r="A40" s="210"/>
      <c r="B40" s="498" t="str">
        <f>HLOOKUP(Language,Translation,261)</f>
        <v>Welche der genannten Verfahren kommen zum Einsatz?</v>
      </c>
      <c r="C40" s="499"/>
      <c r="D40" s="238" t="s">
        <v>113</v>
      </c>
      <c r="E40" s="238" t="s">
        <v>113</v>
      </c>
      <c r="F40" s="239" t="s">
        <v>113</v>
      </c>
    </row>
    <row r="41" spans="1:6" ht="66" customHeight="1">
      <c r="A41" s="207" t="s">
        <v>1303</v>
      </c>
      <c r="B41" s="482" t="str">
        <f>HLOOKUP(Language,Translation,174)&amp;" "&amp;HLOOKUP(Language,Translation,175)</f>
        <v>Datenverarbeitungssysteme müssen vor unbefugtem Zugriff von außerhalb des Unternehmens sowie vor dem Zugriff unbefugter Personen innerhalb des Unternehmens geschützt werden. BENTELER erwartet, dass die Lieferanten die lokalen gesetzlichen Mindestanforderungen zur Sicherung elektronischer Daten erfüllen. Entsprechen alle Ihre Computer und Datenverarbeitungsanlagen den neuesten nationalen Datenschutzgesetzen und -standards?</v>
      </c>
      <c r="C41" s="483"/>
      <c r="D41" s="483"/>
      <c r="E41" s="484"/>
      <c r="F41" s="212" t="s">
        <v>113</v>
      </c>
    </row>
    <row r="42" spans="1:6" ht="26.1" customHeight="1">
      <c r="A42" s="207" t="s">
        <v>1304</v>
      </c>
      <c r="B42" s="470" t="str">
        <f>HLOOKUP(Language,Translation,259)</f>
        <v>Hat Ihr Unternehmen einen Prozess zur kontinuierlichen Verbesserung des Datenschutz, IT- und Informationssicherheit implementiert? (Programm/Ziele)</v>
      </c>
      <c r="C42" s="470"/>
      <c r="D42" s="470"/>
      <c r="E42" s="470"/>
      <c r="F42" s="212" t="s">
        <v>113</v>
      </c>
    </row>
    <row r="43" spans="1:6" ht="26.1" customHeight="1" thickBot="1">
      <c r="A43" s="208" t="s">
        <v>1327</v>
      </c>
      <c r="B43" s="471" t="str">
        <f>HLOOKUP(Language,Translation,260)</f>
        <v>Erhalten Ihre Mitarbeiter regelmäßige Schulungen zum Thema Datenschutz, IT- und Informationssicherheit?</v>
      </c>
      <c r="C43" s="471"/>
      <c r="D43" s="471"/>
      <c r="E43" s="471"/>
      <c r="F43" s="213" t="s">
        <v>113</v>
      </c>
    </row>
  </sheetData>
  <sheetProtection selectLockedCells="1"/>
  <mergeCells count="40">
    <mergeCell ref="B16:F16"/>
    <mergeCell ref="B17:E17"/>
    <mergeCell ref="B33:E33"/>
    <mergeCell ref="B34:E34"/>
    <mergeCell ref="B40:C40"/>
    <mergeCell ref="B35:E35"/>
    <mergeCell ref="B26:E26"/>
    <mergeCell ref="B27:E27"/>
    <mergeCell ref="B28:E28"/>
    <mergeCell ref="B30:F30"/>
    <mergeCell ref="B31:E31"/>
    <mergeCell ref="B32:E32"/>
    <mergeCell ref="A4:F4"/>
    <mergeCell ref="B5:F5"/>
    <mergeCell ref="A1:E1"/>
    <mergeCell ref="A3:F3"/>
    <mergeCell ref="E15:F15"/>
    <mergeCell ref="A11:A12"/>
    <mergeCell ref="B11:E12"/>
    <mergeCell ref="B6:F6"/>
    <mergeCell ref="A7:A8"/>
    <mergeCell ref="B7:E8"/>
    <mergeCell ref="A9:A10"/>
    <mergeCell ref="B9:E10"/>
    <mergeCell ref="B42:E42"/>
    <mergeCell ref="B43:E43"/>
    <mergeCell ref="A13:A14"/>
    <mergeCell ref="B13:E14"/>
    <mergeCell ref="B37:F37"/>
    <mergeCell ref="B38:E38"/>
    <mergeCell ref="B39:E39"/>
    <mergeCell ref="B15:D15"/>
    <mergeCell ref="B24:E24"/>
    <mergeCell ref="B25:E25"/>
    <mergeCell ref="B18:E18"/>
    <mergeCell ref="B19:E19"/>
    <mergeCell ref="B20:E20"/>
    <mergeCell ref="B21:E21"/>
    <mergeCell ref="B23:F23"/>
    <mergeCell ref="B41:E41"/>
  </mergeCells>
  <dataValidations count="2">
    <dataValidation type="list" allowBlank="1" showInputMessage="1" showErrorMessage="1" sqref="F17:F21 F24:F28 F31:F35 F38:F39 F41:F43" xr:uid="{3EE1EA02-DB9A-4BD8-A99A-D6645FAE0C21}">
      <formula1>Selection</formula1>
    </dataValidation>
    <dataValidation type="list" allowBlank="1" showInputMessage="1" showErrorMessage="1" sqref="D40" xr:uid="{416E016F-79B7-4472-94BD-A5F6E2B387A5}">
      <formula1>ITsecurity</formula1>
    </dataValidation>
  </dataValidations>
  <printOptions horizontalCentered="1"/>
  <pageMargins left="0.39370078740157483" right="0.35433070866141736" top="0.43307086614173229" bottom="0.59055118110236227" header="0.23622047244094491" footer="0.15748031496062992"/>
  <pageSetup paperSize="9" scale="82" fitToHeight="0" orientation="portrait" r:id="rId1"/>
  <headerFooter alignWithMargins="0">
    <oddFooter>&amp;L&amp;6T.PU.005 Supplier Self Assessment and Approval Form / T.Schneider / 16.12.2020&amp;R&amp;6&amp;A   &amp;P/&amp;N</oddFooter>
  </headerFooter>
  <rowBreaks count="1" manualBreakCount="1">
    <brk id="35" max="5" man="1"/>
  </rowBreaks>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14" operator="equal" id="{17233D07-6DCF-4999-8541-76B857A612BE}">
            <xm:f>'Language table'!$B$3</xm:f>
            <x14:dxf>
              <fill>
                <patternFill>
                  <bgColor theme="0" tint="-0.14996795556505021"/>
                </patternFill>
              </fill>
            </x14:dxf>
          </x14:cfRule>
          <xm:sqref>F17:F21 F24:F28 F31:F35 F38:F39 F41:F43</xm:sqref>
        </x14:conditionalFormatting>
        <x14:conditionalFormatting xmlns:xm="http://schemas.microsoft.com/office/excel/2006/main">
          <x14:cfRule type="expression" priority="13" id="{8D3DD5C0-5B6F-49DB-9269-E0236A29987C}">
            <xm:f>$F$7='Language table'!$C$4</xm:f>
            <x14:dxf>
              <font>
                <color theme="0"/>
              </font>
              <fill>
                <patternFill>
                  <bgColor theme="0"/>
                </patternFill>
              </fill>
            </x14:dxf>
          </x14:cfRule>
          <xm:sqref>A17:F21</xm:sqref>
        </x14:conditionalFormatting>
        <x14:conditionalFormatting xmlns:xm="http://schemas.microsoft.com/office/excel/2006/main">
          <x14:cfRule type="expression" priority="12" id="{28743FC4-CAD5-452A-AABA-523B651EF8B5}">
            <xm:f>$F$9='Language table'!$C$4</xm:f>
            <x14:dxf>
              <font>
                <color theme="0"/>
              </font>
              <fill>
                <patternFill>
                  <bgColor theme="0"/>
                </patternFill>
              </fill>
            </x14:dxf>
          </x14:cfRule>
          <xm:sqref>A24:F28</xm:sqref>
        </x14:conditionalFormatting>
        <x14:conditionalFormatting xmlns:xm="http://schemas.microsoft.com/office/excel/2006/main">
          <x14:cfRule type="expression" priority="11" id="{0959577C-55FD-4D67-BA55-EB9D0D4B390D}">
            <xm:f>$F$11='Language table'!$C$4</xm:f>
            <x14:dxf>
              <font>
                <color theme="0"/>
              </font>
              <fill>
                <patternFill>
                  <bgColor theme="0"/>
                </patternFill>
              </fill>
            </x14:dxf>
          </x14:cfRule>
          <xm:sqref>A31:F35</xm:sqref>
        </x14:conditionalFormatting>
        <x14:conditionalFormatting xmlns:xm="http://schemas.microsoft.com/office/excel/2006/main">
          <x14:cfRule type="expression" priority="6" id="{DF525AAB-C4E8-419C-8F84-C161C05B7C73}">
            <xm:f>$F$13='Language table'!$C$4</xm:f>
            <x14:dxf>
              <font>
                <color theme="0"/>
              </font>
              <fill>
                <patternFill>
                  <bgColor theme="0"/>
                </patternFill>
              </fill>
            </x14:dxf>
          </x14:cfRule>
          <xm:sqref>A38:F39 A42:F43 D40:F40 F41 A40:B41</xm:sqref>
        </x14:conditionalFormatting>
        <x14:conditionalFormatting xmlns:xm="http://schemas.microsoft.com/office/excel/2006/main">
          <x14:cfRule type="cellIs" priority="9" operator="equal" id="{6B68FA76-EC1F-45CC-BE18-52A4AB15C936}">
            <xm:f>'Language table'!$B$3</xm:f>
            <x14:dxf>
              <fill>
                <patternFill>
                  <bgColor theme="0" tint="-0.14996795556505021"/>
                </patternFill>
              </fill>
            </x14:dxf>
          </x14:cfRule>
          <xm:sqref>D40:F40 F41</xm:sqref>
        </x14:conditionalFormatting>
        <x14:conditionalFormatting xmlns:xm="http://schemas.microsoft.com/office/excel/2006/main">
          <x14:cfRule type="expression" priority="8" id="{7A9D5E72-1583-4B3F-8F80-409B84C7D32D}">
            <xm:f>$E$40='Language table'!$E$276</xm:f>
            <x14:dxf>
              <font>
                <color theme="0"/>
              </font>
              <fill>
                <patternFill>
                  <bgColor theme="0"/>
                </patternFill>
              </fill>
            </x14:dxf>
          </x14:cfRule>
          <xm:sqref>F40</xm:sqref>
        </x14:conditionalFormatting>
        <x14:conditionalFormatting xmlns:xm="http://schemas.microsoft.com/office/excel/2006/main">
          <x14:cfRule type="expression" priority="7" id="{32D2F039-8504-46CB-8783-5A096C669CDE}">
            <xm:f>$F$39='Language table'!$D$4</xm:f>
            <x14:dxf>
              <font>
                <color theme="0"/>
              </font>
              <fill>
                <patternFill>
                  <bgColor theme="0"/>
                </patternFill>
              </fill>
            </x14:dxf>
          </x14:cfRule>
          <xm:sqref>B40:F40</xm:sqref>
        </x14:conditionalFormatting>
        <x14:conditionalFormatting xmlns:xm="http://schemas.microsoft.com/office/excel/2006/main">
          <x14:cfRule type="cellIs" priority="1" operator="equal" id="{9CEC2AFB-23D8-469C-9D55-F87BF8CF0948}">
            <xm:f>'\Users\wippeme\Downloads\[T.PU.005 Supplier Self Assessment and Approval Form_V2.5.1.xlsx]Language table'!#REF!</xm:f>
            <x14:dxf>
              <font>
                <color theme="0"/>
              </font>
            </x14:dxf>
          </x14:cfRule>
          <xm:sqref>F7 F9 F11 F13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907BDBA-2904-40E5-9B80-24CBCEC5B152}">
          <x14:formula1>
            <xm:f>'Language table'!$E$272:$E$276</xm:f>
          </x14:formula1>
          <xm:sqref>E40:F40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00"/>
  <sheetViews>
    <sheetView showGridLines="0" zoomScaleNormal="100" zoomScaleSheetLayoutView="80" workbookViewId="0">
      <selection activeCell="F8" sqref="F8:G8"/>
    </sheetView>
  </sheetViews>
  <sheetFormatPr baseColWidth="10" defaultColWidth="11.42578125" defaultRowHeight="12.75"/>
  <cols>
    <col min="1" max="1" width="6.28515625" style="14" customWidth="1"/>
    <col min="2" max="2" width="9.7109375" style="217" customWidth="1"/>
    <col min="3" max="3" width="9.140625" style="14" customWidth="1"/>
    <col min="4" max="4" width="30.85546875" style="14" customWidth="1"/>
    <col min="5" max="5" width="12.7109375" style="14" bestFit="1" customWidth="1"/>
    <col min="6" max="7" width="21.140625" style="14" customWidth="1"/>
    <col min="8" max="26" width="11.42578125" style="14"/>
    <col min="27" max="27" width="10.140625" style="14" customWidth="1"/>
    <col min="28" max="32" width="11.42578125" style="14" customWidth="1"/>
    <col min="33" max="16384" width="11.42578125" style="14"/>
  </cols>
  <sheetData>
    <row r="1" spans="1:31" ht="42.75" customHeight="1" thickBot="1">
      <c r="A1" s="488" t="str">
        <f>HLOOKUP(Language,Translation,2)</f>
        <v>Empfehlungsbogen</v>
      </c>
      <c r="B1" s="489"/>
      <c r="C1" s="489"/>
      <c r="D1" s="489"/>
      <c r="E1" s="489"/>
      <c r="F1" s="489"/>
      <c r="G1" s="13"/>
      <c r="N1" s="94"/>
    </row>
    <row r="2" spans="1:31" ht="8.25" customHeight="1" thickBot="1">
      <c r="C2" s="37"/>
      <c r="D2" s="37"/>
      <c r="E2" s="37"/>
      <c r="F2" s="37"/>
      <c r="G2" s="37"/>
      <c r="N2" s="94"/>
    </row>
    <row r="3" spans="1:31" ht="50.1" customHeight="1" thickBot="1">
      <c r="A3" s="547" t="str">
        <f>HLOOKUP(Language,Translation,135)</f>
        <v>6. Soziale Verantwortung</v>
      </c>
      <c r="B3" s="548"/>
      <c r="C3" s="548"/>
      <c r="D3" s="548"/>
      <c r="E3" s="548"/>
      <c r="F3" s="548"/>
      <c r="G3" s="549"/>
      <c r="N3" s="94"/>
    </row>
    <row r="4" spans="1:31" ht="9" customHeight="1" thickBot="1">
      <c r="A4" s="38"/>
      <c r="B4" s="218"/>
      <c r="C4" s="39"/>
      <c r="D4" s="39"/>
      <c r="E4" s="39"/>
      <c r="F4" s="39"/>
      <c r="G4" s="39"/>
      <c r="N4" s="94"/>
    </row>
    <row r="5" spans="1:31" ht="24.95" customHeight="1" thickBot="1">
      <c r="A5" s="240">
        <v>1</v>
      </c>
      <c r="B5" s="532" t="str">
        <f>HLOOKUP(Language,Translation,136)</f>
        <v>Informationen zur externen Bewertung der sozialen Verantwortung</v>
      </c>
      <c r="C5" s="532"/>
      <c r="D5" s="532"/>
      <c r="E5" s="532"/>
      <c r="F5" s="532"/>
      <c r="G5" s="533"/>
      <c r="N5" s="94"/>
    </row>
    <row r="6" spans="1:31" ht="54" customHeight="1">
      <c r="A6" s="537" t="s">
        <v>28</v>
      </c>
      <c r="B6" s="534" t="str">
        <f>HLOOKUP(Language,Translation,137)</f>
        <v>Haben Sie einen ausgefüllten externen Fragebogen zur Nachhaltigkeit (z.B. NQC, EcoVadis, etc.)? Haben Sie ein externes Rating erhalten? Wenn Sie bereits einen Fragebogen für einen anderen Automobilkunden ausgefüllt haben und die Bewertung mit uns teilen möchten, anstatt Abschnitt E dieses Self-Assessment-Fragebogens auszufüllen, erbringen Sie bitte einen Nachweis über die erhaltene Nachhaltigkeitsbewertung.</v>
      </c>
      <c r="C6" s="535"/>
      <c r="D6" s="535"/>
      <c r="E6" s="535"/>
      <c r="F6" s="535"/>
      <c r="G6" s="536"/>
      <c r="N6" s="94"/>
    </row>
    <row r="7" spans="1:31" ht="18.75" customHeight="1">
      <c r="A7" s="537"/>
      <c r="B7" s="539" t="str">
        <f>HLOOKUP(Language,Translation,138)</f>
        <v>Das Nachhaltigkeitsrating eines Drittanbieters ist beigefügt.</v>
      </c>
      <c r="C7" s="540"/>
      <c r="D7" s="540"/>
      <c r="E7" s="540"/>
      <c r="F7" s="543" t="s">
        <v>113</v>
      </c>
      <c r="G7" s="544"/>
      <c r="N7" s="94"/>
    </row>
    <row r="8" spans="1:31" ht="18.75" customHeight="1" thickBot="1">
      <c r="A8" s="538"/>
      <c r="B8" s="541"/>
      <c r="C8" s="542"/>
      <c r="D8" s="542"/>
      <c r="E8" s="542"/>
      <c r="F8" s="545" t="str">
        <f>IF(F7&lt;&gt;'Language table'!$B$3,HLOOKUP(Language,Translation,114),"")</f>
        <v/>
      </c>
      <c r="G8" s="546"/>
      <c r="N8" s="94"/>
    </row>
    <row r="9" spans="1:31" ht="8.25" customHeight="1" thickBot="1">
      <c r="N9" s="94"/>
    </row>
    <row r="10" spans="1:31" s="17" customFormat="1" ht="24.95" customHeight="1" thickBot="1">
      <c r="A10" s="241">
        <v>2</v>
      </c>
      <c r="B10" s="525" t="str">
        <f>HLOOKUP(Language,Translation,140)</f>
        <v>Informationen zur sozialen Verantwortung und Gesetzeskonformität</v>
      </c>
      <c r="C10" s="525"/>
      <c r="D10" s="525"/>
      <c r="E10" s="525"/>
      <c r="F10" s="525"/>
      <c r="G10" s="526"/>
      <c r="AC10" s="40"/>
    </row>
    <row r="11" spans="1:31" s="41" customFormat="1" ht="143.25" customHeight="1">
      <c r="A11" s="550" t="s">
        <v>27</v>
      </c>
      <c r="B11" s="527" t="str">
        <f>HLOOKUP(Language,Translation,141)</f>
        <v>Alle Unternehmen der BENTELER Gruppe (nachfolgend "BENTELER" genannt) erwarten von ihren Lieferanten, dass sie mindestens die ethischen Standards einhalten, zu denen sich alle Unternehmen der BENTELER Gruppe verpflichtet haben. Wenn Sie nicht über die neueste Version des BENTELER-Verhaltenskodex verfügen, können Sie ihn selbst von der Homepage der BENTELER-Gruppe herunterladen (www.benteler.com).
Sie müssen die Einhaltung der ethischen Standards gemäß dem Verhaltenskodex von BENTELER schriftlich bestätigen. Dies ist eine Voraussetzung für die Lieferantenauswahl, bedeutet aber nicht, dass Ihr Unternehmen auf diese Weise automatisch ausgewählt wird. Dies ist eine von mehreren Bedingungen, die von BENTELER während des Nominierungsprozesses überprüft werden. 
Bitte nutzen Sie zur Bestätigung die Vorlage "Akzeptanzbogen", in der Sie ebenfalls die Einkaufsbedingungen und unsere Qualtitätsrichtilinie anerkennen.</v>
      </c>
      <c r="C11" s="528"/>
      <c r="D11" s="528"/>
      <c r="E11" s="528"/>
      <c r="F11" s="528"/>
      <c r="G11" s="529"/>
      <c r="N11" s="17"/>
      <c r="AC11" s="42"/>
    </row>
    <row r="12" spans="1:31" s="41" customFormat="1" ht="15.75" customHeight="1">
      <c r="A12" s="550"/>
      <c r="B12" s="552"/>
      <c r="C12" s="553"/>
      <c r="D12" s="553"/>
      <c r="E12" s="203" t="str">
        <f>HLOOKUP(Language,Translation,191)</f>
        <v>Bewertung</v>
      </c>
      <c r="F12" s="515" t="str">
        <f>HLOOKUP(Language,Translation,42)</f>
        <v>Kommentare</v>
      </c>
      <c r="G12" s="516"/>
      <c r="N12" s="17"/>
      <c r="AC12" s="42"/>
    </row>
    <row r="13" spans="1:31" s="43" customFormat="1" ht="53.25" customHeight="1">
      <c r="A13" s="551"/>
      <c r="B13" s="520" t="str">
        <f>HLOOKUP(Language,Translation,142)</f>
        <v>Hat Ihr Unternehmen einen eigenen Verhaltenskodex aufgestellt und dessen Prinzipien entsprechen den Prinzipien von BENTELER? Wenn ja, legen Sie bitte Nachweise vor.</v>
      </c>
      <c r="C13" s="520"/>
      <c r="D13" s="503"/>
      <c r="E13" s="215" t="s">
        <v>113</v>
      </c>
      <c r="F13" s="508"/>
      <c r="G13" s="509"/>
      <c r="N13" s="95"/>
      <c r="AC13" s="44"/>
    </row>
    <row r="14" spans="1:31" s="41" customFormat="1" ht="30" customHeight="1">
      <c r="A14" s="254" t="s">
        <v>29</v>
      </c>
      <c r="B14" s="504" t="str">
        <f>HLOOKUP(Language,Translation,143)</f>
        <v>Schulen Sie Ihre Mitarbeiter, um das Verständnis für CSR/Nachhaltigkeit zu stärken?</v>
      </c>
      <c r="C14" s="504"/>
      <c r="D14" s="504"/>
      <c r="E14" s="215" t="s">
        <v>113</v>
      </c>
      <c r="F14" s="508"/>
      <c r="G14" s="509"/>
      <c r="N14" s="17"/>
    </row>
    <row r="15" spans="1:31" s="43" customFormat="1" ht="18.75" customHeight="1">
      <c r="A15" s="254" t="s">
        <v>31</v>
      </c>
      <c r="B15" s="554" t="str">
        <f>HLOOKUP(Language,Translation,144)</f>
        <v>Referenzen: ILO Konventionen 59, 79, 138, 142, 182 - Verbot von Kinderarbeit</v>
      </c>
      <c r="C15" s="520"/>
      <c r="D15" s="520"/>
      <c r="E15" s="520"/>
      <c r="F15" s="520"/>
      <c r="G15" s="521"/>
      <c r="I15" s="95"/>
      <c r="N15" s="95"/>
      <c r="AE15" s="96"/>
    </row>
    <row r="16" spans="1:31" s="43" customFormat="1" ht="45" customHeight="1">
      <c r="A16" s="255"/>
      <c r="B16" s="505" t="str">
        <f>HLOOKUP(Language,Translation,145)</f>
        <v>Ist es in Ihrem Unternehmen insbesondere verboten, Kinderarbeit anzuwenden (Kinderarbeit nach den Bestimmungen des nationalen Rechts)?</v>
      </c>
      <c r="C16" s="506"/>
      <c r="D16" s="507"/>
      <c r="E16" s="215" t="s">
        <v>113</v>
      </c>
      <c r="F16" s="508"/>
      <c r="G16" s="509"/>
      <c r="I16" s="95"/>
      <c r="N16" s="95"/>
    </row>
    <row r="17" spans="1:29" s="44" customFormat="1" ht="18.75" customHeight="1">
      <c r="A17" s="256" t="s">
        <v>33</v>
      </c>
      <c r="B17" s="555" t="str">
        <f>HLOOKUP(Language,Translation,146)</f>
        <v>Referenzen: ILO Konventionen 29, 105 - Verbot von Zwangsarbeit und disziplinarischen Sanktionsmaßnahmen</v>
      </c>
      <c r="C17" s="556"/>
      <c r="D17" s="556"/>
      <c r="E17" s="556"/>
      <c r="F17" s="556"/>
      <c r="G17" s="557"/>
    </row>
    <row r="18" spans="1:29" s="43" customFormat="1" ht="30" customHeight="1">
      <c r="A18" s="257"/>
      <c r="B18" s="505" t="str">
        <f>HLOOKUP(Language,Translation,147)</f>
        <v>Ist es in Ihrem Unternehmen verboten, Zwangsarbeit zu leisten?</v>
      </c>
      <c r="C18" s="506"/>
      <c r="D18" s="507"/>
      <c r="E18" s="215" t="s">
        <v>113</v>
      </c>
      <c r="F18" s="508"/>
      <c r="G18" s="509"/>
    </row>
    <row r="19" spans="1:29" s="43" customFormat="1" ht="18.75" customHeight="1">
      <c r="A19" s="256" t="s">
        <v>34</v>
      </c>
      <c r="B19" s="554" t="str">
        <f>HLOOKUP(Language,Translation,148)</f>
        <v>Referenzen: ILO Konventionen 87, 98, 135, 154 - Vereinigungsfreiheit</v>
      </c>
      <c r="C19" s="520"/>
      <c r="D19" s="520"/>
      <c r="E19" s="520"/>
      <c r="F19" s="520"/>
      <c r="G19" s="521"/>
    </row>
    <row r="20" spans="1:29" s="43" customFormat="1" ht="30" customHeight="1" thickBot="1">
      <c r="A20" s="258"/>
      <c r="B20" s="522" t="str">
        <f>HLOOKUP(Language,Translation,149)</f>
        <v>Entspricht die Vereinigungsfreiheit den nationalen Gesetzen, die in Ihrem Unternehmen gelten?</v>
      </c>
      <c r="C20" s="523"/>
      <c r="D20" s="524"/>
      <c r="E20" s="259" t="s">
        <v>113</v>
      </c>
      <c r="F20" s="530"/>
      <c r="G20" s="531"/>
    </row>
    <row r="21" spans="1:29" s="43" customFormat="1" ht="8.25" customHeight="1" thickBot="1">
      <c r="A21" s="45"/>
      <c r="B21" s="219"/>
      <c r="C21" s="46"/>
      <c r="D21" s="228"/>
      <c r="E21" s="228"/>
      <c r="F21" s="47"/>
      <c r="G21" s="47"/>
    </row>
    <row r="22" spans="1:29" s="41" customFormat="1" ht="24.95" customHeight="1" thickBot="1">
      <c r="A22" s="241">
        <v>3</v>
      </c>
      <c r="B22" s="525" t="str">
        <f>HLOOKUP(Language,Translation,150)</f>
        <v>Mitarbeiterführung</v>
      </c>
      <c r="C22" s="525"/>
      <c r="D22" s="525"/>
      <c r="E22" s="525"/>
      <c r="F22" s="525"/>
      <c r="G22" s="526"/>
    </row>
    <row r="23" spans="1:29" s="41" customFormat="1" ht="30" customHeight="1">
      <c r="A23" s="243" t="s">
        <v>35</v>
      </c>
      <c r="B23" s="528" t="str">
        <f>HLOOKUP(Language,Translation,151)</f>
        <v>Die Arbeitnehmer sind schriftlich über ihre Rechte und Pflichten innerhalb des Unternehmens und gegenüber ihrem Arbeitgeber zu informieren. Insbesondere Arbeitszeit, Urlaub und Vergütung werden schriftlich vereinbart.</v>
      </c>
      <c r="C23" s="528"/>
      <c r="D23" s="528"/>
      <c r="E23" s="519"/>
      <c r="F23" s="519"/>
      <c r="G23" s="558"/>
      <c r="J23" s="48"/>
    </row>
    <row r="24" spans="1:29" s="41" customFormat="1" ht="15.75" customHeight="1">
      <c r="A24" s="243"/>
      <c r="B24" s="512"/>
      <c r="C24" s="512"/>
      <c r="D24" s="512"/>
      <c r="E24" s="203" t="str">
        <f>HLOOKUP(Language,Translation,191)</f>
        <v>Bewertung</v>
      </c>
      <c r="F24" s="515" t="str">
        <f>HLOOKUP(Language,Translation,42)</f>
        <v>Kommentare</v>
      </c>
      <c r="G24" s="516"/>
      <c r="N24" s="17"/>
      <c r="AC24" s="42"/>
    </row>
    <row r="25" spans="1:29" s="43" customFormat="1" ht="30" customHeight="1">
      <c r="A25" s="257"/>
      <c r="B25" s="503" t="str">
        <f>HLOOKUP(Language,Translation,152)</f>
        <v>Hat Ihr Unternehmen mit allen Ihren Mitarbeitern Arbeitsverträge abgeschlossen?</v>
      </c>
      <c r="C25" s="504"/>
      <c r="D25" s="504"/>
      <c r="E25" s="215" t="s">
        <v>113</v>
      </c>
      <c r="F25" s="508"/>
      <c r="G25" s="509"/>
    </row>
    <row r="26" spans="1:29" s="43" customFormat="1" ht="18.75" customHeight="1">
      <c r="A26" s="256" t="s">
        <v>36</v>
      </c>
      <c r="B26" s="500" t="str">
        <f>HLOOKUP(Language,Translation,153)</f>
        <v>Referenzen: ILO Konventionen 1, 14 - Arbeitszeit und Ruhezeiten</v>
      </c>
      <c r="C26" s="501"/>
      <c r="D26" s="501"/>
      <c r="E26" s="501"/>
      <c r="F26" s="501"/>
      <c r="G26" s="502"/>
    </row>
    <row r="27" spans="1:29" s="43" customFormat="1" ht="45" customHeight="1">
      <c r="A27" s="257"/>
      <c r="B27" s="505" t="str">
        <f>HLOOKUP(Language,Translation,154)</f>
        <v>Entspricht die Arbeitszeit in Ihrem Unternehmen dem nationalen Recht und den nationalen Normen der jeweiligen Branche?</v>
      </c>
      <c r="C27" s="506"/>
      <c r="D27" s="507"/>
      <c r="E27" s="215" t="s">
        <v>113</v>
      </c>
      <c r="F27" s="508"/>
      <c r="G27" s="509"/>
    </row>
    <row r="28" spans="1:29" s="43" customFormat="1" ht="18.75" customHeight="1">
      <c r="A28" s="256" t="s">
        <v>39</v>
      </c>
      <c r="B28" s="500" t="str">
        <f>HLOOKUP(Language,Translation,155)</f>
        <v>Referenzen: ILO Konventionen 100, 111, 143, 158, 159 - Antidiskriminierungsregel</v>
      </c>
      <c r="C28" s="501"/>
      <c r="D28" s="501"/>
      <c r="E28" s="501"/>
      <c r="F28" s="501"/>
      <c r="G28" s="502"/>
    </row>
    <row r="29" spans="1:29" s="43" customFormat="1" ht="66" customHeight="1">
      <c r="A29" s="257"/>
      <c r="B29" s="505" t="str">
        <f>HLOOKUP(Language,Translation,156)</f>
        <v>Können Sie mit hinreichender Sicherheit ausschließen, dass Mitglieder von Minderheitengruppen in Ihrem Unternehmen in irgendeiner Weise diskriminiert werden? Gibt es Programme, um einer möglichen Diskriminierung entgegenzuwirken?</v>
      </c>
      <c r="C29" s="506"/>
      <c r="D29" s="507"/>
      <c r="E29" s="215" t="s">
        <v>113</v>
      </c>
      <c r="F29" s="508"/>
      <c r="G29" s="509"/>
    </row>
    <row r="30" spans="1:29" s="43" customFormat="1" ht="18.75" customHeight="1">
      <c r="A30" s="256" t="s">
        <v>92</v>
      </c>
      <c r="B30" s="500" t="str">
        <f>HLOOKUP(Language,Translation,157)</f>
        <v>Referenzen: ILO Konventionen 26, 131 - Mindesteinkommen</v>
      </c>
      <c r="C30" s="501"/>
      <c r="D30" s="501"/>
      <c r="E30" s="501"/>
      <c r="F30" s="501"/>
      <c r="G30" s="502"/>
    </row>
    <row r="31" spans="1:29" s="43" customFormat="1" ht="30" customHeight="1">
      <c r="A31" s="257"/>
      <c r="B31" s="505" t="str">
        <f>HLOOKUP(Language,Translation,158)</f>
        <v>Verdienen alle Mitarbeiter Ihres Unternehmens mindestens das gesetzliche Mindesteinkommen?</v>
      </c>
      <c r="C31" s="506"/>
      <c r="D31" s="507"/>
      <c r="E31" s="215" t="s">
        <v>113</v>
      </c>
      <c r="F31" s="508"/>
      <c r="G31" s="509"/>
    </row>
    <row r="32" spans="1:29" s="43" customFormat="1" ht="18.75" customHeight="1">
      <c r="A32" s="256" t="s">
        <v>91</v>
      </c>
      <c r="B32" s="500" t="str">
        <f>HLOOKUP(Language,Translation,159)</f>
        <v>Referenzen: ILO Konventionen 132 - Bezahlter Urlaub</v>
      </c>
      <c r="C32" s="501"/>
      <c r="D32" s="501"/>
      <c r="E32" s="501"/>
      <c r="F32" s="501"/>
      <c r="G32" s="502"/>
    </row>
    <row r="33" spans="1:29" s="43" customFormat="1" ht="30" customHeight="1">
      <c r="A33" s="257"/>
      <c r="B33" s="505" t="str">
        <f>HLOOKUP(Language,Translation,160)</f>
        <v>Gewährt Ihr Unternehmen allen Mitarbeitern bezahlten Urlaub?</v>
      </c>
      <c r="C33" s="506"/>
      <c r="D33" s="507"/>
      <c r="E33" s="215" t="s">
        <v>113</v>
      </c>
      <c r="F33" s="508"/>
      <c r="G33" s="509"/>
    </row>
    <row r="34" spans="1:29" s="43" customFormat="1" ht="18.75" customHeight="1">
      <c r="A34" s="256" t="s">
        <v>191</v>
      </c>
      <c r="B34" s="500" t="str">
        <f>HLOOKUP(Language,Translation,161)</f>
        <v>Referenz: ILO Konvention 155 - Gesund- und Sicherheit am Arbeitsplatz</v>
      </c>
      <c r="C34" s="501"/>
      <c r="D34" s="501"/>
      <c r="E34" s="501"/>
      <c r="F34" s="501"/>
      <c r="G34" s="502"/>
    </row>
    <row r="35" spans="1:29" s="43" customFormat="1" ht="45" customHeight="1" thickBot="1">
      <c r="A35" s="258"/>
      <c r="B35" s="522" t="str">
        <f>HLOOKUP(Language,Translation,162)</f>
        <v>Werden Ihre Mitarbeiter über die möglichen Gefahren und Risiken ihrer Arbeit und über die entsprechenden Sicherheitsmaßnahmen informiert?</v>
      </c>
      <c r="C35" s="523"/>
      <c r="D35" s="524"/>
      <c r="E35" s="259" t="s">
        <v>113</v>
      </c>
      <c r="F35" s="530"/>
      <c r="G35" s="531"/>
    </row>
    <row r="36" spans="1:29" s="43" customFormat="1" ht="8.25" customHeight="1" thickBot="1">
      <c r="A36" s="45"/>
      <c r="B36" s="219"/>
      <c r="C36" s="46"/>
      <c r="D36" s="228"/>
      <c r="E36" s="228"/>
      <c r="F36" s="47"/>
      <c r="G36" s="47"/>
    </row>
    <row r="37" spans="1:29" s="41" customFormat="1" ht="24.95" customHeight="1" thickBot="1">
      <c r="A37" s="241">
        <v>4</v>
      </c>
      <c r="B37" s="525" t="str">
        <f>HLOOKUP(Language,Translation,163)</f>
        <v>Informationen über fairen Wettbewerb</v>
      </c>
      <c r="C37" s="525"/>
      <c r="D37" s="525"/>
      <c r="E37" s="525"/>
      <c r="F37" s="525"/>
      <c r="G37" s="526"/>
    </row>
    <row r="38" spans="1:29" s="41" customFormat="1" ht="90" customHeight="1">
      <c r="A38" s="194" t="s">
        <v>37</v>
      </c>
      <c r="B38" s="528" t="str">
        <f>HLOOKUP(Language,Translation,164)</f>
        <v>Das Kartellrecht zielt auf den Schutz eines auf Angebot und Nachfrage basierenden freien Marktsystems ab, das eines der Grundprinzipien unserer Gesellschaft und unserer Wirtschaft ist und Wachstum und Arbeitsplätze schafft. Gesetze sollen Wettbewerbsbeschränkungen verhindern und ein einheitliches Regelwerk für alle Marktteilnehmer festlegen. Unternehmen sind für die Einhaltung dieser Vorschriften verantwortlich. Die Nichteinhaltung dieser Gesetze kann zu Straf- und Verwaltungsstrafen, Freiheitsstrafen und zivilrechtlichen Schadenersatzklagen gegen das Unternehmen, seine einzelnen leitenden Angestellten, Geschäftsführer und beteiligten Mitarbeiter führen. Die Höhe von Schadenersatz und Bußgeldern kann den Fortbestand des Unternehmens gefährden.</v>
      </c>
      <c r="C38" s="528"/>
      <c r="D38" s="528"/>
      <c r="E38" s="519"/>
      <c r="F38" s="519"/>
      <c r="G38" s="558"/>
    </row>
    <row r="39" spans="1:29" s="41" customFormat="1" ht="15.75" customHeight="1">
      <c r="A39" s="243"/>
      <c r="B39" s="512"/>
      <c r="C39" s="512"/>
      <c r="D39" s="512"/>
      <c r="E39" s="203" t="str">
        <f>HLOOKUP(Language,Translation,191)</f>
        <v>Bewertung</v>
      </c>
      <c r="F39" s="515" t="str">
        <f>HLOOKUP(Language,Translation,42)</f>
        <v>Kommentare</v>
      </c>
      <c r="G39" s="516"/>
      <c r="N39" s="17"/>
      <c r="AC39" s="42"/>
    </row>
    <row r="40" spans="1:29" s="43" customFormat="1" ht="53.25" customHeight="1" thickBot="1">
      <c r="A40" s="252"/>
      <c r="B40" s="559" t="str">
        <f>HLOOKUP(Language,Translation,165)</f>
        <v>Gibt es in Ihrem Unternehmen Programme oder Prozesse, um Verstöße gegen das Kartellrecht zu vermeiden und einen fairen Wettbewerb zu unterstützen?</v>
      </c>
      <c r="C40" s="559"/>
      <c r="D40" s="560"/>
      <c r="E40" s="224" t="s">
        <v>113</v>
      </c>
      <c r="F40" s="530"/>
      <c r="G40" s="531"/>
    </row>
    <row r="41" spans="1:29" s="43" customFormat="1" ht="8.25" customHeight="1" thickBot="1">
      <c r="A41" s="49"/>
      <c r="B41" s="219"/>
      <c r="C41" s="46"/>
      <c r="D41" s="228"/>
      <c r="E41" s="228"/>
      <c r="F41" s="47"/>
      <c r="G41" s="47"/>
    </row>
    <row r="42" spans="1:29" s="41" customFormat="1" ht="24.95" customHeight="1" thickBot="1">
      <c r="A42" s="241">
        <v>5</v>
      </c>
      <c r="B42" s="525" t="str">
        <f>HLOOKUP(Language,Translation,166)</f>
        <v>Informationen über die Prävention von Korruption</v>
      </c>
      <c r="C42" s="525"/>
      <c r="D42" s="525"/>
      <c r="E42" s="525"/>
      <c r="F42" s="525"/>
      <c r="G42" s="526"/>
    </row>
    <row r="43" spans="1:29" s="41" customFormat="1" ht="90" customHeight="1">
      <c r="A43" s="194" t="s">
        <v>40</v>
      </c>
      <c r="B43" s="528" t="str">
        <f>HLOOKUP(Language,Translation,167)</f>
        <v>Korruption ist weltweit weitgehend verboten. Korruption führt zu wirtschaftlichen Entscheidungen, die nicht nach dem freien Spiel von Angebot und Nachfrage, sondern durch den Missbrauch der persönlichen Macht zum privaten Nutzen der Akteure, zum Nachteil der betroffenen Unternehmen getroffen werden. Die Folgen sind unter anderem überhöhte und instabile Preise, geringere Qualität und Folgeschäden, geringe Innovationsfähigkeit und langfristig Rückgang der Wettbewerbsfähigkeit innerhalb der Branche.
Unternehmen sollten Vorkehrungen getroffen haben, um sich und ihre Mitarbeiter vor Korruption zu schützen, um eine nachhaltige Existenz des Unternehmens zu gewährleisten.</v>
      </c>
      <c r="C43" s="528"/>
      <c r="D43" s="528"/>
      <c r="E43" s="528"/>
      <c r="F43" s="528"/>
      <c r="G43" s="529"/>
    </row>
    <row r="44" spans="1:29" s="41" customFormat="1" ht="15.75" customHeight="1">
      <c r="A44" s="243"/>
      <c r="B44" s="512"/>
      <c r="C44" s="512"/>
      <c r="D44" s="512"/>
      <c r="E44" s="203" t="str">
        <f>HLOOKUP(Language,Translation,191)</f>
        <v>Bewertung</v>
      </c>
      <c r="F44" s="513" t="str">
        <f>HLOOKUP(Language,Translation,42)</f>
        <v>Kommentare</v>
      </c>
      <c r="G44" s="514"/>
      <c r="N44" s="17"/>
      <c r="AC44" s="42"/>
    </row>
    <row r="45" spans="1:29" s="43" customFormat="1" ht="45" customHeight="1" thickBot="1">
      <c r="A45" s="253"/>
      <c r="B45" s="559" t="str">
        <f>HLOOKUP(Language,Translation,168)</f>
        <v>Gibt es in Ihrem Unternehmen Programme oder Prozesse, um Korruption, Bestechung und unverhältnismäßige Geschenke zu verhindern?</v>
      </c>
      <c r="C45" s="559"/>
      <c r="D45" s="560"/>
      <c r="E45" s="224" t="s">
        <v>113</v>
      </c>
      <c r="F45" s="530"/>
      <c r="G45" s="531"/>
    </row>
    <row r="46" spans="1:29" s="43" customFormat="1" ht="8.25" customHeight="1" thickBot="1">
      <c r="A46" s="49"/>
      <c r="B46" s="219"/>
      <c r="C46" s="46"/>
      <c r="D46" s="228"/>
      <c r="E46" s="228"/>
      <c r="F46" s="47"/>
      <c r="G46" s="47"/>
    </row>
    <row r="47" spans="1:29" s="41" customFormat="1" ht="24.95" customHeight="1" thickBot="1">
      <c r="A47" s="241">
        <v>6</v>
      </c>
      <c r="B47" s="525" t="str">
        <f>HLOOKUP(Language,Translation,169)</f>
        <v>Datenschutz</v>
      </c>
      <c r="C47" s="525"/>
      <c r="D47" s="525"/>
      <c r="E47" s="525"/>
      <c r="F47" s="525"/>
      <c r="G47" s="526"/>
    </row>
    <row r="48" spans="1:29" s="41" customFormat="1" ht="78" customHeight="1">
      <c r="A48" s="249" t="s">
        <v>44</v>
      </c>
      <c r="B48" s="527" t="str">
        <f>HLOOKUP(Language,Translation,170)</f>
        <v>BENTELER erwartet, dass alle ausgetauschten Daten vertraulich behandelt werden, es sei denn, die Daten sind zum Zeitpunkt des Austausches bereits an anderer Stelle veröffentlicht worden; auch wenn die Parteien (BENTELER und Lieferant / Dienstleister) noch keine allgemeine oder projektspezifische Geheimhaltungsvereinbarung getroffen haben. Dies kann nur gewährleistet werden, wenn alle Ihre Mitarbeiter, die Zugang zu diesen Daten haben, ihre Pflicht zur Wahrung der Vertraulichkeit geschäftsbezogener Daten einhalten und vom Arbeitgeber schriftlich zur allgemeinen Geheimhaltung verpflichtet wurden.</v>
      </c>
      <c r="C48" s="528"/>
      <c r="D48" s="528"/>
      <c r="E48" s="528"/>
      <c r="F48" s="528"/>
      <c r="G48" s="529"/>
    </row>
    <row r="49" spans="1:31" s="41" customFormat="1" ht="15.75" customHeight="1">
      <c r="A49" s="243"/>
      <c r="B49" s="512"/>
      <c r="C49" s="512"/>
      <c r="D49" s="512"/>
      <c r="E49" s="203" t="str">
        <f>HLOOKUP(Language,Translation,191)</f>
        <v>Bewertung</v>
      </c>
      <c r="F49" s="513" t="str">
        <f>HLOOKUP(Language,Translation,42)</f>
        <v>Kommentare</v>
      </c>
      <c r="G49" s="514"/>
      <c r="N49" s="17"/>
      <c r="AC49" s="42"/>
    </row>
    <row r="50" spans="1:31" s="43" customFormat="1" ht="56.25" customHeight="1">
      <c r="A50" s="250"/>
      <c r="B50" s="520" t="str">
        <f>HLOOKUP(Language,Translation,171)</f>
        <v>Sind alle Mitarbeiter Ihres Unternehmens verpflichtet, Betriebsgeheimnisse und deren Arbeit vertraulich zu behandeln und diese auch in keiner Weise Dritten zugänglich zu machen?</v>
      </c>
      <c r="C50" s="520"/>
      <c r="D50" s="503"/>
      <c r="E50" s="57" t="s">
        <v>113</v>
      </c>
      <c r="F50" s="508"/>
      <c r="G50" s="509"/>
    </row>
    <row r="51" spans="1:31" s="43" customFormat="1" ht="30" customHeight="1">
      <c r="A51" s="251" t="s">
        <v>193</v>
      </c>
      <c r="B51" s="518" t="str">
        <f>HLOOKUP(Language,Translation,172)</f>
        <v>Die Verwendung von nicht lizenzierter Software ist untersagt. Der geistige Eigentümer der Software kann die Verwendung von Produkten verbieten, die direkt oder indirekt durch die Verwendung seiner Software hergestellt wurden.</v>
      </c>
      <c r="C51" s="519"/>
      <c r="D51" s="519"/>
      <c r="E51" s="520"/>
      <c r="F51" s="520"/>
      <c r="G51" s="521"/>
      <c r="H51" s="95"/>
      <c r="I51" s="95"/>
    </row>
    <row r="52" spans="1:31" s="43" customFormat="1" ht="39.75" customHeight="1" thickBot="1">
      <c r="A52" s="252"/>
      <c r="B52" s="522" t="str">
        <f>HLOOKUP(Language,Translation,173)</f>
        <v>Ist die gesamte in Ihrem Unternehmen verwendete Computersoftware (mit Ausnahme der selbst erstellten Software) lizenziert?</v>
      </c>
      <c r="C52" s="523"/>
      <c r="D52" s="524"/>
      <c r="E52" s="248" t="s">
        <v>113</v>
      </c>
      <c r="F52" s="530"/>
      <c r="G52" s="531"/>
      <c r="AE52" s="96"/>
    </row>
    <row r="53" spans="1:31" s="43" customFormat="1" ht="8.25" customHeight="1" thickBot="1">
      <c r="A53" s="45"/>
      <c r="B53" s="219"/>
      <c r="C53" s="46"/>
      <c r="D53" s="228"/>
      <c r="E53" s="228"/>
      <c r="F53" s="230"/>
      <c r="G53" s="230"/>
    </row>
    <row r="54" spans="1:31" s="41" customFormat="1" ht="24.95" customHeight="1" thickBot="1">
      <c r="A54" s="241">
        <v>7</v>
      </c>
      <c r="B54" s="525" t="str">
        <f>HLOOKUP(Language,Translation,176)</f>
        <v>Informationen zu Lieferantenmanagement</v>
      </c>
      <c r="C54" s="525"/>
      <c r="D54" s="525"/>
      <c r="E54" s="525"/>
      <c r="F54" s="525"/>
      <c r="G54" s="526"/>
      <c r="AE54" s="43"/>
    </row>
    <row r="55" spans="1:31" s="41" customFormat="1" ht="54" customHeight="1">
      <c r="A55" s="194" t="s">
        <v>220</v>
      </c>
      <c r="B55" s="527" t="str">
        <f>HLOOKUP(Language,Translation,177)</f>
        <v>Es ist sicherzustellen, dass alle Unternehmen innerhalb der Lieferkette von BENTELER von Anfang an bis zum Endkunden die geltenden Gesetze einhalten und ethische Mindeststandards einhalten, wie sie beispielsweise im Verhaltenskodex von BENTELER festgelegt sind. Jedes Unternehmen innerhalb der Lieferkette soll so gut wie möglich zur Erreichung dieses Ziels beitragen.</v>
      </c>
      <c r="C55" s="528"/>
      <c r="D55" s="528"/>
      <c r="E55" s="528"/>
      <c r="F55" s="528"/>
      <c r="G55" s="529"/>
      <c r="I55" s="95"/>
      <c r="AE55" s="43"/>
    </row>
    <row r="56" spans="1:31" s="41" customFormat="1" ht="15.75" customHeight="1">
      <c r="A56" s="243"/>
      <c r="B56" s="512"/>
      <c r="C56" s="512"/>
      <c r="D56" s="512"/>
      <c r="E56" s="203" t="str">
        <f>HLOOKUP(Language,Translation,191)</f>
        <v>Bewertung</v>
      </c>
      <c r="F56" s="513" t="str">
        <f>HLOOKUP(Language,Translation,42)</f>
        <v>Kommentare</v>
      </c>
      <c r="G56" s="514"/>
      <c r="N56" s="17"/>
      <c r="AC56" s="42"/>
    </row>
    <row r="57" spans="1:31" s="43" customFormat="1" ht="54" customHeight="1" thickBot="1">
      <c r="A57" s="247"/>
      <c r="B57" s="559" t="str">
        <f>HLOOKUP(Language,Translation,178)</f>
        <v>Verlangt Ihr Unternehmen auch von Ihren Zulieferern, dass sie die Standards der Corporate Social Responsibility innerhalb der gesamten Lieferkette einhalten? Wenn ja, legen Sie bitte Nachweise vor.</v>
      </c>
      <c r="C57" s="559"/>
      <c r="D57" s="560"/>
      <c r="E57" s="248" t="s">
        <v>113</v>
      </c>
      <c r="F57" s="530"/>
      <c r="G57" s="531"/>
    </row>
    <row r="58" spans="1:31" s="43" customFormat="1" ht="8.25" customHeight="1" thickBot="1">
      <c r="A58" s="50"/>
      <c r="B58" s="220"/>
      <c r="C58" s="51"/>
      <c r="D58" s="51"/>
      <c r="E58" s="52"/>
      <c r="F58" s="52"/>
      <c r="G58" s="52"/>
      <c r="H58" s="44"/>
    </row>
    <row r="59" spans="1:31" s="43" customFormat="1" ht="24.95" customHeight="1">
      <c r="A59" s="246">
        <v>8</v>
      </c>
      <c r="B59" s="578" t="str">
        <f>HLOOKUP(Language,Translation,179)</f>
        <v>Informationen zu Exportkontrolle</v>
      </c>
      <c r="C59" s="578"/>
      <c r="D59" s="578"/>
      <c r="E59" s="260"/>
      <c r="F59" s="260"/>
      <c r="G59" s="261"/>
      <c r="H59" s="44"/>
    </row>
    <row r="60" spans="1:31" s="43" customFormat="1" ht="65.25" customHeight="1">
      <c r="A60" s="194" t="s">
        <v>196</v>
      </c>
      <c r="B60" s="527" t="str">
        <f>HLOOKUP(Language,Translation,180)</f>
        <v xml:space="preserve">Ein Verstoß gegen die Exportbestimmungen kann erhebliche Folgen für die BENTELER-Gruppe und ihre verantwortlichen Führungskräfte und Mitarbeiter haben. Jedes Unternehmen in der BENTELER Lieferkette muss die internationalen und nationalen Handelsgesetze einhalten. Ihre verantwortlichen Mitarbeiter müssen alle geltenden Gesetze, Vorschriften und Richtlinien zur Kontrolle internationaler Handels- und Finanztransaktionen anerkennen, verstehen und einhalten. </v>
      </c>
      <c r="C60" s="528"/>
      <c r="D60" s="528"/>
      <c r="E60" s="528"/>
      <c r="F60" s="528"/>
      <c r="G60" s="529"/>
      <c r="H60" s="44"/>
      <c r="I60" s="95"/>
    </row>
    <row r="61" spans="1:31" s="43" customFormat="1" ht="18.75" customHeight="1">
      <c r="A61" s="194"/>
      <c r="B61" s="527" t="str">
        <f>HLOOKUP(Language,Translation,181)</f>
        <v>Referenzen: www.wassenaar.org; www. Nuclearsuppliergroup.org; www.australiagroup.net; www.mtcr.info</v>
      </c>
      <c r="C61" s="528"/>
      <c r="D61" s="528"/>
      <c r="E61" s="528"/>
      <c r="F61" s="528"/>
      <c r="G61" s="529"/>
      <c r="H61" s="44"/>
    </row>
    <row r="62" spans="1:31" s="41" customFormat="1" ht="15.75" customHeight="1">
      <c r="A62" s="243"/>
      <c r="B62" s="512"/>
      <c r="C62" s="512"/>
      <c r="D62" s="512"/>
      <c r="E62" s="203" t="str">
        <f>HLOOKUP(Language,Translation,191)</f>
        <v>Bewertung</v>
      </c>
      <c r="F62" s="515" t="str">
        <f>HLOOKUP(Language,Translation,42)</f>
        <v>Kommentare</v>
      </c>
      <c r="G62" s="516"/>
      <c r="N62" s="17"/>
      <c r="AC62" s="42"/>
    </row>
    <row r="63" spans="1:31" s="43" customFormat="1" ht="54.75" customHeight="1">
      <c r="A63" s="244"/>
      <c r="B63" s="520" t="str">
        <f>HLOOKUP(Language,Translation,182)</f>
        <v>Verfügen Sie über ein Ausfuhrkontrollsystem, das zumindest Handelsbeschränkungen abdeckt (z.B. Embargos, Dual-Use-Güter, Waren auf Handelskontrolllisten usw.)?</v>
      </c>
      <c r="C63" s="520"/>
      <c r="D63" s="503"/>
      <c r="E63" s="223" t="s">
        <v>113</v>
      </c>
      <c r="F63" s="508"/>
      <c r="G63" s="509"/>
      <c r="H63" s="44"/>
    </row>
    <row r="64" spans="1:31" s="43" customFormat="1" ht="54" customHeight="1">
      <c r="A64" s="242" t="s">
        <v>199</v>
      </c>
      <c r="B64" s="554" t="str">
        <f>HLOOKUP(Language,Translation,183)</f>
        <v>Haben Sie in Ihrem Unternehmen eine qualifizierte Person, die für Fragen der Exportkontrolle zuständig ist? Wenn ja, geben Sie bitte Namen und E-Mail-Adresse an. Bitte informieren Sie uns über Änderungen.</v>
      </c>
      <c r="C64" s="520"/>
      <c r="D64" s="503"/>
      <c r="E64" s="227" t="s">
        <v>113</v>
      </c>
      <c r="F64" s="564"/>
      <c r="G64" s="565"/>
      <c r="H64" s="44"/>
      <c r="I64" s="95"/>
    </row>
    <row r="65" spans="1:29" s="43" customFormat="1" ht="27.75" customHeight="1" thickBot="1">
      <c r="A65" s="567" t="str">
        <f>HLOOKUP(Language,Translation,22)&amp;":"</f>
        <v>Name:</v>
      </c>
      <c r="B65" s="568"/>
      <c r="C65" s="569"/>
      <c r="D65" s="569"/>
      <c r="E65" s="245" t="s">
        <v>1402</v>
      </c>
      <c r="F65" s="570"/>
      <c r="G65" s="571"/>
      <c r="H65" s="44"/>
      <c r="I65" s="95"/>
    </row>
    <row r="66" spans="1:29" s="43" customFormat="1" ht="8.25" customHeight="1" thickBot="1">
      <c r="A66" s="50"/>
      <c r="B66" s="221"/>
      <c r="C66" s="53"/>
      <c r="D66" s="53"/>
      <c r="E66" s="52"/>
      <c r="F66" s="52"/>
      <c r="G66" s="52"/>
      <c r="H66" s="44"/>
    </row>
    <row r="67" spans="1:29" s="43" customFormat="1" ht="24.95" customHeight="1" thickBot="1">
      <c r="A67" s="241">
        <v>9</v>
      </c>
      <c r="B67" s="525" t="str">
        <f>HLOOKUP(Language,Translation,184)</f>
        <v>Informationen über Rechtsverletzungen</v>
      </c>
      <c r="C67" s="525"/>
      <c r="D67" s="525"/>
      <c r="E67" s="525"/>
      <c r="F67" s="525"/>
      <c r="G67" s="526"/>
      <c r="H67" s="44"/>
    </row>
    <row r="68" spans="1:29" s="41" customFormat="1" ht="15.75" customHeight="1">
      <c r="A68" s="510" t="s">
        <v>221</v>
      </c>
      <c r="B68" s="583" t="str">
        <f>HLOOKUP(Language,Translation,185)</f>
        <v>Können Sie bestätigen, dass Ihr Unternehmen in den letzten 24 Monaten wegen Verstößen gegen das Verbot von Kinderarbeit, das Verbot von Zwangsarbeit, die Behinderung der Vereinigungsfreiheit und kartellrechtliche Bestimmungen nicht zur Zahlung von Bußgeldern verurteilt wurde und dass Ihr Unternehmen derzeit keinem Ermittlungsverfahren unterliegt?</v>
      </c>
      <c r="C68" s="583"/>
      <c r="D68" s="583"/>
      <c r="E68" s="226" t="str">
        <f>HLOOKUP(Language,Translation,191)</f>
        <v>Bewertung</v>
      </c>
      <c r="F68" s="517" t="str">
        <f>HLOOKUP(Language,Translation,42)</f>
        <v>Kommentare</v>
      </c>
      <c r="G68" s="517"/>
      <c r="N68" s="17"/>
      <c r="AC68" s="42"/>
    </row>
    <row r="69" spans="1:29" s="43" customFormat="1" ht="93" customHeight="1">
      <c r="A69" s="511"/>
      <c r="B69" s="504"/>
      <c r="C69" s="504"/>
      <c r="D69" s="504"/>
      <c r="E69" s="57" t="s">
        <v>113</v>
      </c>
      <c r="F69" s="566"/>
      <c r="G69" s="566"/>
      <c r="H69" s="44"/>
    </row>
    <row r="70" spans="1:29" s="43" customFormat="1" ht="8.25" customHeight="1" thickBot="1">
      <c r="A70" s="54"/>
      <c r="B70" s="222"/>
      <c r="C70" s="55"/>
      <c r="D70" s="55"/>
      <c r="E70" s="577"/>
      <c r="F70" s="577"/>
      <c r="G70" s="577"/>
      <c r="H70" s="44"/>
    </row>
    <row r="71" spans="1:29" s="43" customFormat="1" ht="24.95" customHeight="1" thickBot="1">
      <c r="A71" s="241">
        <v>10</v>
      </c>
      <c r="B71" s="525" t="str">
        <f>HLOOKUP(Language,Translation,186)</f>
        <v>Informationen zur Beschaffung von Rohstoffen</v>
      </c>
      <c r="C71" s="525"/>
      <c r="D71" s="525"/>
      <c r="E71" s="562" t="str">
        <f>HLOOKUP(Language,Translation,187)</f>
        <v>(Diese Frage ist für Dienstleister nicht relevant.)</v>
      </c>
      <c r="F71" s="562"/>
      <c r="G71" s="563"/>
      <c r="H71" s="44"/>
    </row>
    <row r="72" spans="1:29" s="43" customFormat="1" ht="52.5" customHeight="1">
      <c r="A72" s="194" t="s">
        <v>222</v>
      </c>
      <c r="B72" s="528" t="str">
        <f>HLOOKUP(Language,Translation,188)</f>
        <v>Von den Unternehmen wird erwartet, dass sie Ihrer Sorgfaltspflicht nachkommen, um die Herkunft, der in ihren Produkten verwendeten Rohstoffe, zu verstehen. Die Bereitstellung von Produkten, die Rohstoffe enthalten, ohne dessen Herkunft zu kennen, könnte zu Menschenrechtsverletzungen, Bestechungs- und Ethikverletzungen oder negativen Auswirkungen auf die Umwelt führen.</v>
      </c>
      <c r="C72" s="528"/>
      <c r="D72" s="528"/>
      <c r="E72" s="528"/>
      <c r="F72" s="528"/>
      <c r="G72" s="529"/>
      <c r="H72" s="44"/>
    </row>
    <row r="73" spans="1:29" s="43" customFormat="1" ht="18.75" customHeight="1">
      <c r="A73" s="194"/>
      <c r="B73" s="528" t="str">
        <f>HLOOKUP(Language,Translation,189)</f>
        <v>Referenz: Responsible Minerals Initiative (www.responsiblemineralsinitiative.org)</v>
      </c>
      <c r="C73" s="528"/>
      <c r="D73" s="528"/>
      <c r="E73" s="519"/>
      <c r="F73" s="519"/>
      <c r="G73" s="558"/>
      <c r="H73" s="44"/>
    </row>
    <row r="74" spans="1:29" s="41" customFormat="1" ht="15.75" customHeight="1">
      <c r="A74" s="216"/>
      <c r="B74" s="579"/>
      <c r="C74" s="580"/>
      <c r="D74" s="581"/>
      <c r="E74" s="229" t="str">
        <f>HLOOKUP(Language,Translation,191)</f>
        <v>Bewertung</v>
      </c>
      <c r="F74" s="517" t="str">
        <f>HLOOKUP(Language,Translation,42)</f>
        <v>Kommentare</v>
      </c>
      <c r="G74" s="582"/>
      <c r="N74" s="17"/>
      <c r="AC74" s="42"/>
    </row>
    <row r="75" spans="1:29" s="43" customFormat="1" ht="40.5" customHeight="1" thickBot="1">
      <c r="A75" s="225"/>
      <c r="B75" s="572" t="str">
        <f>HLOOKUP(Language,Translation,190)</f>
        <v>Haben Sie eine Richtlinie für eine verantwortungsvolle Beschaffung von Rohstoffen? Wenn ja, legen Sie Ihrer Empfehlung bitte eine Kopie bei.</v>
      </c>
      <c r="C75" s="573"/>
      <c r="D75" s="574"/>
      <c r="E75" s="224" t="s">
        <v>113</v>
      </c>
      <c r="F75" s="530"/>
      <c r="G75" s="531"/>
      <c r="H75" s="44"/>
    </row>
    <row r="76" spans="1:29" s="43" customFormat="1" ht="8.25" customHeight="1">
      <c r="A76" s="50"/>
      <c r="B76" s="221"/>
      <c r="C76" s="53"/>
      <c r="D76" s="53"/>
      <c r="E76" s="55"/>
      <c r="F76" s="55"/>
      <c r="G76" s="55"/>
      <c r="H76" s="44"/>
    </row>
    <row r="77" spans="1:29" ht="12.75" customHeight="1">
      <c r="A77" s="575" t="s">
        <v>214</v>
      </c>
      <c r="B77" s="575"/>
      <c r="C77" s="575"/>
      <c r="D77" s="575"/>
      <c r="E77" s="576" t="s">
        <v>83</v>
      </c>
      <c r="F77" s="576"/>
      <c r="G77" s="576"/>
    </row>
    <row r="78" spans="1:29" ht="6" customHeight="1"/>
    <row r="79" spans="1:29" ht="15" customHeight="1">
      <c r="A79" s="56">
        <v>1</v>
      </c>
      <c r="B79" s="561" t="s">
        <v>61</v>
      </c>
      <c r="C79" s="561"/>
      <c r="D79" s="561"/>
      <c r="E79" s="561"/>
      <c r="F79" s="561"/>
      <c r="G79" s="561"/>
    </row>
    <row r="80" spans="1:29" ht="15" customHeight="1">
      <c r="A80" s="56">
        <v>14</v>
      </c>
      <c r="B80" s="561" t="s">
        <v>62</v>
      </c>
      <c r="C80" s="561"/>
      <c r="D80" s="561"/>
      <c r="E80" s="561"/>
      <c r="F80" s="561"/>
      <c r="G80" s="561"/>
    </row>
    <row r="81" spans="1:7" ht="15" customHeight="1">
      <c r="A81" s="56">
        <v>26</v>
      </c>
      <c r="B81" s="561" t="s">
        <v>63</v>
      </c>
      <c r="C81" s="561"/>
      <c r="D81" s="561"/>
      <c r="E81" s="561"/>
      <c r="F81" s="561"/>
      <c r="G81" s="561"/>
    </row>
    <row r="82" spans="1:7" ht="15" customHeight="1">
      <c r="A82" s="56">
        <v>29</v>
      </c>
      <c r="B82" s="561" t="s">
        <v>64</v>
      </c>
      <c r="C82" s="561"/>
      <c r="D82" s="561"/>
      <c r="E82" s="561"/>
      <c r="F82" s="561"/>
      <c r="G82" s="561"/>
    </row>
    <row r="83" spans="1:7" ht="15" customHeight="1">
      <c r="A83" s="56">
        <v>59</v>
      </c>
      <c r="B83" s="561" t="s">
        <v>65</v>
      </c>
      <c r="C83" s="561"/>
      <c r="D83" s="561"/>
      <c r="E83" s="561"/>
      <c r="F83" s="561"/>
      <c r="G83" s="561"/>
    </row>
    <row r="84" spans="1:7" ht="15" customHeight="1">
      <c r="A84" s="56">
        <v>79</v>
      </c>
      <c r="B84" s="561" t="s">
        <v>66</v>
      </c>
      <c r="C84" s="561"/>
      <c r="D84" s="561"/>
      <c r="E84" s="561"/>
      <c r="F84" s="561"/>
      <c r="G84" s="561"/>
    </row>
    <row r="85" spans="1:7" ht="15" customHeight="1">
      <c r="A85" s="56">
        <v>87</v>
      </c>
      <c r="B85" s="561" t="s">
        <v>67</v>
      </c>
      <c r="C85" s="561"/>
      <c r="D85" s="561"/>
      <c r="E85" s="561"/>
      <c r="F85" s="561"/>
      <c r="G85" s="561"/>
    </row>
    <row r="86" spans="1:7" ht="15" customHeight="1">
      <c r="A86" s="56">
        <v>98</v>
      </c>
      <c r="B86" s="561" t="s">
        <v>68</v>
      </c>
      <c r="C86" s="561"/>
      <c r="D86" s="561"/>
      <c r="E86" s="561"/>
      <c r="F86" s="561"/>
      <c r="G86" s="561"/>
    </row>
    <row r="87" spans="1:7" ht="15" customHeight="1">
      <c r="A87" s="56">
        <v>100</v>
      </c>
      <c r="B87" s="561" t="s">
        <v>69</v>
      </c>
      <c r="C87" s="561"/>
      <c r="D87" s="561"/>
      <c r="E87" s="561"/>
      <c r="F87" s="561"/>
      <c r="G87" s="561"/>
    </row>
    <row r="88" spans="1:7" ht="15" customHeight="1">
      <c r="A88" s="56">
        <v>105</v>
      </c>
      <c r="B88" s="561" t="s">
        <v>70</v>
      </c>
      <c r="C88" s="561"/>
      <c r="D88" s="561"/>
      <c r="E88" s="561"/>
      <c r="F88" s="561"/>
      <c r="G88" s="561"/>
    </row>
    <row r="89" spans="1:7" ht="15" customHeight="1">
      <c r="A89" s="56">
        <v>111</v>
      </c>
      <c r="B89" s="561" t="s">
        <v>71</v>
      </c>
      <c r="C89" s="561"/>
      <c r="D89" s="561"/>
      <c r="E89" s="561"/>
      <c r="F89" s="561"/>
      <c r="G89" s="561"/>
    </row>
    <row r="90" spans="1:7" ht="15" customHeight="1">
      <c r="A90" s="56">
        <v>131</v>
      </c>
      <c r="B90" s="561" t="s">
        <v>72</v>
      </c>
      <c r="C90" s="561"/>
      <c r="D90" s="561"/>
      <c r="E90" s="561"/>
      <c r="F90" s="561"/>
      <c r="G90" s="561"/>
    </row>
    <row r="91" spans="1:7" ht="15" customHeight="1">
      <c r="A91" s="56">
        <v>132</v>
      </c>
      <c r="B91" s="561" t="s">
        <v>73</v>
      </c>
      <c r="C91" s="561"/>
      <c r="D91" s="561"/>
      <c r="E91" s="561"/>
      <c r="F91" s="561"/>
      <c r="G91" s="561"/>
    </row>
    <row r="92" spans="1:7" ht="15" customHeight="1">
      <c r="A92" s="56">
        <v>135</v>
      </c>
      <c r="B92" s="561" t="s">
        <v>74</v>
      </c>
      <c r="C92" s="561"/>
      <c r="D92" s="561"/>
      <c r="E92" s="561"/>
      <c r="F92" s="561"/>
      <c r="G92" s="561"/>
    </row>
    <row r="93" spans="1:7" ht="15" customHeight="1">
      <c r="A93" s="56">
        <v>138</v>
      </c>
      <c r="B93" s="561" t="s">
        <v>75</v>
      </c>
      <c r="C93" s="561"/>
      <c r="D93" s="561"/>
      <c r="E93" s="561"/>
      <c r="F93" s="561"/>
      <c r="G93" s="561"/>
    </row>
    <row r="94" spans="1:7" ht="15" customHeight="1">
      <c r="A94" s="56">
        <v>142</v>
      </c>
      <c r="B94" s="561" t="s">
        <v>76</v>
      </c>
      <c r="C94" s="561"/>
      <c r="D94" s="561"/>
      <c r="E94" s="561"/>
      <c r="F94" s="561"/>
      <c r="G94" s="561"/>
    </row>
    <row r="95" spans="1:7" ht="15" customHeight="1">
      <c r="A95" s="56">
        <v>143</v>
      </c>
      <c r="B95" s="561" t="s">
        <v>77</v>
      </c>
      <c r="C95" s="561"/>
      <c r="D95" s="561"/>
      <c r="E95" s="561"/>
      <c r="F95" s="561"/>
      <c r="G95" s="561"/>
    </row>
    <row r="96" spans="1:7" ht="15" customHeight="1">
      <c r="A96" s="56">
        <v>154</v>
      </c>
      <c r="B96" s="561" t="s">
        <v>78</v>
      </c>
      <c r="C96" s="561"/>
      <c r="D96" s="561"/>
      <c r="E96" s="561"/>
      <c r="F96" s="561"/>
      <c r="G96" s="561"/>
    </row>
    <row r="97" spans="1:7" ht="15" customHeight="1">
      <c r="A97" s="56">
        <v>155</v>
      </c>
      <c r="B97" s="561" t="s">
        <v>79</v>
      </c>
      <c r="C97" s="561"/>
      <c r="D97" s="561"/>
      <c r="E97" s="561"/>
      <c r="F97" s="561"/>
      <c r="G97" s="561"/>
    </row>
    <row r="98" spans="1:7" ht="15" customHeight="1">
      <c r="A98" s="56">
        <v>158</v>
      </c>
      <c r="B98" s="561" t="s">
        <v>80</v>
      </c>
      <c r="C98" s="561"/>
      <c r="D98" s="561"/>
      <c r="E98" s="561"/>
      <c r="F98" s="561"/>
      <c r="G98" s="561"/>
    </row>
    <row r="99" spans="1:7" ht="15" customHeight="1">
      <c r="A99" s="56">
        <v>159</v>
      </c>
      <c r="B99" s="561" t="s">
        <v>81</v>
      </c>
      <c r="C99" s="561"/>
      <c r="D99" s="561"/>
      <c r="E99" s="561"/>
      <c r="F99" s="561"/>
      <c r="G99" s="561"/>
    </row>
    <row r="100" spans="1:7" ht="15" customHeight="1">
      <c r="A100" s="56">
        <v>182</v>
      </c>
      <c r="B100" s="561" t="s">
        <v>82</v>
      </c>
      <c r="C100" s="561"/>
      <c r="D100" s="561"/>
      <c r="E100" s="561"/>
      <c r="F100" s="561"/>
      <c r="G100" s="561"/>
    </row>
  </sheetData>
  <sheetProtection selectLockedCells="1"/>
  <mergeCells count="124">
    <mergeCell ref="E77:G77"/>
    <mergeCell ref="B64:D64"/>
    <mergeCell ref="E70:G70"/>
    <mergeCell ref="B72:G72"/>
    <mergeCell ref="B73:G73"/>
    <mergeCell ref="B55:G55"/>
    <mergeCell ref="B59:D59"/>
    <mergeCell ref="B60:G60"/>
    <mergeCell ref="B61:G61"/>
    <mergeCell ref="B63:D63"/>
    <mergeCell ref="B74:D74"/>
    <mergeCell ref="F74:G74"/>
    <mergeCell ref="B68:D69"/>
    <mergeCell ref="B87:G87"/>
    <mergeCell ref="B88:G88"/>
    <mergeCell ref="B85:G85"/>
    <mergeCell ref="B86:G86"/>
    <mergeCell ref="B83:G83"/>
    <mergeCell ref="B84:G84"/>
    <mergeCell ref="B57:D57"/>
    <mergeCell ref="B71:D71"/>
    <mergeCell ref="E71:G71"/>
    <mergeCell ref="B81:G81"/>
    <mergeCell ref="B82:G82"/>
    <mergeCell ref="B79:G79"/>
    <mergeCell ref="B80:G80"/>
    <mergeCell ref="F57:G57"/>
    <mergeCell ref="F64:G64"/>
    <mergeCell ref="F69:G69"/>
    <mergeCell ref="F75:G75"/>
    <mergeCell ref="A65:B65"/>
    <mergeCell ref="C65:D65"/>
    <mergeCell ref="F65:G65"/>
    <mergeCell ref="F63:G63"/>
    <mergeCell ref="B75:D75"/>
    <mergeCell ref="B67:G67"/>
    <mergeCell ref="A77:D77"/>
    <mergeCell ref="B93:G93"/>
    <mergeCell ref="B94:G94"/>
    <mergeCell ref="B91:G91"/>
    <mergeCell ref="B92:G92"/>
    <mergeCell ref="B89:G89"/>
    <mergeCell ref="B90:G90"/>
    <mergeCell ref="B99:G99"/>
    <mergeCell ref="B100:G100"/>
    <mergeCell ref="B97:G97"/>
    <mergeCell ref="B98:G98"/>
    <mergeCell ref="B95:G95"/>
    <mergeCell ref="B96:G96"/>
    <mergeCell ref="B31:D31"/>
    <mergeCell ref="B29:D29"/>
    <mergeCell ref="B45:D45"/>
    <mergeCell ref="B37:G37"/>
    <mergeCell ref="B38:G38"/>
    <mergeCell ref="B40:D40"/>
    <mergeCell ref="B34:G34"/>
    <mergeCell ref="B35:D35"/>
    <mergeCell ref="B32:G32"/>
    <mergeCell ref="B33:D33"/>
    <mergeCell ref="F29:G29"/>
    <mergeCell ref="B42:G42"/>
    <mergeCell ref="B43:G43"/>
    <mergeCell ref="F45:G45"/>
    <mergeCell ref="B39:D39"/>
    <mergeCell ref="F39:G39"/>
    <mergeCell ref="F31:G31"/>
    <mergeCell ref="F33:G33"/>
    <mergeCell ref="F35:G35"/>
    <mergeCell ref="F40:G40"/>
    <mergeCell ref="F27:G27"/>
    <mergeCell ref="B15:G15"/>
    <mergeCell ref="B19:G19"/>
    <mergeCell ref="B17:G17"/>
    <mergeCell ref="B18:D18"/>
    <mergeCell ref="B22:G22"/>
    <mergeCell ref="B23:G23"/>
    <mergeCell ref="B24:D24"/>
    <mergeCell ref="F24:G24"/>
    <mergeCell ref="B20:D20"/>
    <mergeCell ref="F18:G18"/>
    <mergeCell ref="F20:G20"/>
    <mergeCell ref="A1:F1"/>
    <mergeCell ref="B5:G5"/>
    <mergeCell ref="B6:G6"/>
    <mergeCell ref="A6:A8"/>
    <mergeCell ref="B7:E8"/>
    <mergeCell ref="F7:G7"/>
    <mergeCell ref="F8:G8"/>
    <mergeCell ref="F16:G16"/>
    <mergeCell ref="A3:G3"/>
    <mergeCell ref="A11:A13"/>
    <mergeCell ref="B14:D14"/>
    <mergeCell ref="B10:G10"/>
    <mergeCell ref="B11:G11"/>
    <mergeCell ref="B16:D16"/>
    <mergeCell ref="B13:D13"/>
    <mergeCell ref="F13:G13"/>
    <mergeCell ref="F14:G14"/>
    <mergeCell ref="B12:D12"/>
    <mergeCell ref="F12:G12"/>
    <mergeCell ref="B28:G28"/>
    <mergeCell ref="B25:D25"/>
    <mergeCell ref="B26:G26"/>
    <mergeCell ref="B27:D27"/>
    <mergeCell ref="B30:G30"/>
    <mergeCell ref="F25:G25"/>
    <mergeCell ref="A68:A69"/>
    <mergeCell ref="B49:D49"/>
    <mergeCell ref="F49:G49"/>
    <mergeCell ref="B44:D44"/>
    <mergeCell ref="F44:G44"/>
    <mergeCell ref="B56:D56"/>
    <mergeCell ref="F56:G56"/>
    <mergeCell ref="B62:D62"/>
    <mergeCell ref="F62:G62"/>
    <mergeCell ref="F68:G68"/>
    <mergeCell ref="B51:G51"/>
    <mergeCell ref="B52:D52"/>
    <mergeCell ref="B54:G54"/>
    <mergeCell ref="B47:G47"/>
    <mergeCell ref="B48:G48"/>
    <mergeCell ref="B50:D50"/>
    <mergeCell ref="F50:G50"/>
    <mergeCell ref="F52:G52"/>
  </mergeCells>
  <conditionalFormatting sqref="F8:G8">
    <cfRule type="notContainsBlanks" dxfId="70" priority="176">
      <formula>LEN(TRIM(F8))&gt;0</formula>
    </cfRule>
  </conditionalFormatting>
  <conditionalFormatting sqref="F13:G13">
    <cfRule type="notContainsBlanks" dxfId="69" priority="166">
      <formula>LEN(TRIM(F13))&gt;0</formula>
    </cfRule>
  </conditionalFormatting>
  <conditionalFormatting sqref="F75:G75">
    <cfRule type="notContainsBlanks" dxfId="68" priority="76">
      <formula>LEN(TRIM(F75))&gt;0</formula>
    </cfRule>
  </conditionalFormatting>
  <conditionalFormatting sqref="F14:G14">
    <cfRule type="notContainsBlanks" dxfId="67" priority="57">
      <formula>LEN(TRIM(F14))&gt;0</formula>
    </cfRule>
  </conditionalFormatting>
  <conditionalFormatting sqref="F16:G16">
    <cfRule type="notContainsBlanks" dxfId="66" priority="54">
      <formula>LEN(TRIM(F16))&gt;0</formula>
    </cfRule>
  </conditionalFormatting>
  <conditionalFormatting sqref="F18:G18">
    <cfRule type="notContainsBlanks" dxfId="65" priority="51">
      <formula>LEN(TRIM(F18))&gt;0</formula>
    </cfRule>
  </conditionalFormatting>
  <conditionalFormatting sqref="F20:G20">
    <cfRule type="notContainsBlanks" dxfId="64" priority="48">
      <formula>LEN(TRIM(F20))&gt;0</formula>
    </cfRule>
  </conditionalFormatting>
  <conditionalFormatting sqref="F25:G25">
    <cfRule type="notContainsBlanks" dxfId="63" priority="45">
      <formula>LEN(TRIM(F25))&gt;0</formula>
    </cfRule>
  </conditionalFormatting>
  <conditionalFormatting sqref="F27:G27">
    <cfRule type="notContainsBlanks" dxfId="62" priority="42">
      <formula>LEN(TRIM(F27))&gt;0</formula>
    </cfRule>
  </conditionalFormatting>
  <conditionalFormatting sqref="F29:G29">
    <cfRule type="notContainsBlanks" dxfId="61" priority="39">
      <formula>LEN(TRIM(F29))&gt;0</formula>
    </cfRule>
  </conditionalFormatting>
  <conditionalFormatting sqref="F31:G31">
    <cfRule type="notContainsBlanks" dxfId="60" priority="36">
      <formula>LEN(TRIM(F31))&gt;0</formula>
    </cfRule>
  </conditionalFormatting>
  <conditionalFormatting sqref="F33:G33">
    <cfRule type="notContainsBlanks" dxfId="59" priority="33">
      <formula>LEN(TRIM(F33))&gt;0</formula>
    </cfRule>
  </conditionalFormatting>
  <conditionalFormatting sqref="F50:G50">
    <cfRule type="notContainsBlanks" dxfId="58" priority="30">
      <formula>LEN(TRIM(F50))&gt;0</formula>
    </cfRule>
  </conditionalFormatting>
  <conditionalFormatting sqref="F52:G52">
    <cfRule type="notContainsBlanks" dxfId="57" priority="27">
      <formula>LEN(TRIM(F52))&gt;0</formula>
    </cfRule>
  </conditionalFormatting>
  <conditionalFormatting sqref="F63:G63">
    <cfRule type="notContainsBlanks" dxfId="56" priority="24">
      <formula>LEN(TRIM(F63))&gt;0</formula>
    </cfRule>
  </conditionalFormatting>
  <conditionalFormatting sqref="F35:G35">
    <cfRule type="notContainsBlanks" dxfId="55" priority="21">
      <formula>LEN(TRIM(F35))&gt;0</formula>
    </cfRule>
  </conditionalFormatting>
  <conditionalFormatting sqref="F40:G40">
    <cfRule type="notContainsBlanks" dxfId="54" priority="18">
      <formula>LEN(TRIM(F40))&gt;0</formula>
    </cfRule>
  </conditionalFormatting>
  <conditionalFormatting sqref="F45:G45">
    <cfRule type="notContainsBlanks" dxfId="53" priority="15">
      <formula>LEN(TRIM(F45))&gt;0</formula>
    </cfRule>
  </conditionalFormatting>
  <conditionalFormatting sqref="F57:G57">
    <cfRule type="notContainsBlanks" dxfId="52" priority="9">
      <formula>LEN(TRIM(F57))&gt;0</formula>
    </cfRule>
  </conditionalFormatting>
  <conditionalFormatting sqref="F64:G64">
    <cfRule type="notContainsBlanks" dxfId="51" priority="6">
      <formula>LEN(TRIM(F64))&gt;0</formula>
    </cfRule>
  </conditionalFormatting>
  <conditionalFormatting sqref="F69:G69">
    <cfRule type="notContainsBlanks" dxfId="50" priority="3">
      <formula>LEN(TRIM(F69))&gt;0</formula>
    </cfRule>
  </conditionalFormatting>
  <dataValidations count="2">
    <dataValidation type="list" allowBlank="1" showInputMessage="1" showErrorMessage="1" sqref="F7" xr:uid="{983D18DC-27C5-4CDA-82A6-F4613CFBC796}">
      <formula1>Selection</formula1>
    </dataValidation>
    <dataValidation type="list" allowBlank="1" showInputMessage="1" showErrorMessage="1" sqref="E50 E13:E14 E16 E18 E20 E25 E27 E29 E31 E57 E35 E40 E45 E52 E69 E75 E33 E63:E64" xr:uid="{3D7DCA3D-6A86-468A-85BD-62DFBBB10C0D}">
      <formula1>Selection2</formula1>
    </dataValidation>
  </dataValidations>
  <hyperlinks>
    <hyperlink ref="E77" r:id="rId1" xr:uid="{00000000-0004-0000-0400-000000000000}"/>
  </hyperlinks>
  <printOptions horizontalCentered="1"/>
  <pageMargins left="0.78740157480314965" right="0.74803149606299213" top="0.43307086614173229" bottom="0.59055118110236227" header="0.23622047244094491" footer="0.15748031496062992"/>
  <pageSetup scale="80" firstPageNumber="5" fitToHeight="0" orientation="portrait" r:id="rId2"/>
  <headerFooter alignWithMargins="0">
    <oddFooter>&amp;L&amp;6T.PU.005 Supplier Self Assessment and Approval Form / T.Schneider / 16.12.2020&amp;R&amp;6&amp;A   &amp;P/&amp;N</oddFooter>
  </headerFooter>
  <rowBreaks count="2" manualBreakCount="2">
    <brk id="31" max="6" man="1"/>
    <brk id="57" max="6" man="1"/>
  </rowBreaks>
  <customProperties>
    <customPr name="_pios_id" r:id="rId3"/>
  </customProperties>
  <drawing r:id="rId4"/>
  <extLst>
    <ext xmlns:x14="http://schemas.microsoft.com/office/spreadsheetml/2009/9/main" uri="{78C0D931-6437-407d-A8EE-F0AAD7539E65}">
      <x14:conditionalFormattings>
        <x14:conditionalFormatting xmlns:xm="http://schemas.microsoft.com/office/excel/2006/main">
          <x14:cfRule type="expression" priority="7" id="{CFA14A5B-3EF4-424C-89C4-916F95D7A833}">
            <xm:f>OR(E64='Language table'!$D$6,E64='Language table'!$E$6)</xm:f>
            <x14:dxf>
              <fill>
                <patternFill>
                  <bgColor theme="0" tint="-0.14996795556505021"/>
                </patternFill>
              </fill>
            </x14:dxf>
          </x14:cfRule>
          <xm:sqref>F64:G64</xm:sqref>
        </x14:conditionalFormatting>
        <x14:conditionalFormatting xmlns:xm="http://schemas.microsoft.com/office/excel/2006/main">
          <x14:cfRule type="expression" priority="60" id="{00000000-000E-0000-0400-00003A000000}">
            <xm:f>OR(VC='Language table'!$E$3,VC='Language table'!$F$3)</xm:f>
            <x14:dxf>
              <font>
                <color theme="0"/>
              </font>
              <fill>
                <patternFill>
                  <bgColor theme="0"/>
                </patternFill>
              </fill>
              <border>
                <left/>
                <right/>
                <top/>
                <bottom/>
              </border>
            </x14:dxf>
          </x14:cfRule>
          <xm:sqref>A71:G73 A75:G75</xm:sqref>
        </x14:conditionalFormatting>
        <x14:conditionalFormatting xmlns:xm="http://schemas.microsoft.com/office/excel/2006/main">
          <x14:cfRule type="cellIs" priority="177" operator="equal" id="{AA2D348E-3D17-4476-81B1-C67C9F491B15}">
            <xm:f>'Language table'!$B$3</xm:f>
            <x14:dxf>
              <fill>
                <patternFill>
                  <bgColor theme="0" tint="-0.14996795556505021"/>
                </patternFill>
              </fill>
            </x14:dxf>
          </x14:cfRule>
          <xm:sqref>F7</xm:sqref>
        </x14:conditionalFormatting>
        <x14:conditionalFormatting xmlns:xm="http://schemas.microsoft.com/office/excel/2006/main">
          <x14:cfRule type="cellIs" priority="175" operator="equal" id="{21A31F6F-939C-42E1-A1B7-317868358EAC}">
            <xm:f>'Language table'!$B$3</xm:f>
            <x14:dxf>
              <fill>
                <patternFill>
                  <bgColor theme="0" tint="-0.14996795556505021"/>
                </patternFill>
              </fill>
            </x14:dxf>
          </x14:cfRule>
          <xm:sqref>E13</xm:sqref>
        </x14:conditionalFormatting>
        <x14:conditionalFormatting xmlns:xm="http://schemas.microsoft.com/office/excel/2006/main">
          <x14:cfRule type="expression" priority="167" id="{ACD6B44F-FBBA-4B36-A22E-36D08B9F564C}">
            <xm:f>OR(E13='Language table'!$D$6,E13='Language table'!$E$6)</xm:f>
            <x14:dxf>
              <fill>
                <patternFill>
                  <bgColor theme="0" tint="-0.14996795556505021"/>
                </patternFill>
              </fill>
            </x14:dxf>
          </x14:cfRule>
          <xm:sqref>F13:G13</xm:sqref>
        </x14:conditionalFormatting>
        <x14:conditionalFormatting xmlns:xm="http://schemas.microsoft.com/office/excel/2006/main">
          <x14:cfRule type="cellIs" priority="79" operator="equal" id="{5D3BD41F-10A2-4D8E-A0FE-C53EE241D50A}">
            <xm:f>'Language table'!$B$3</xm:f>
            <x14:dxf>
              <fill>
                <patternFill>
                  <bgColor theme="0" tint="-0.14996795556505021"/>
                </patternFill>
              </fill>
            </x14:dxf>
          </x14:cfRule>
          <xm:sqref>E75</xm:sqref>
        </x14:conditionalFormatting>
        <x14:conditionalFormatting xmlns:xm="http://schemas.microsoft.com/office/excel/2006/main">
          <x14:cfRule type="expression" priority="77" id="{5EA0A452-4C8D-4053-8E78-221631BD3275}">
            <xm:f>OR(E75='Language table'!$D$6,E75='Language table'!$E$6)</xm:f>
            <x14:dxf>
              <fill>
                <patternFill>
                  <bgColor theme="0" tint="-0.14996795556505021"/>
                </patternFill>
              </fill>
            </x14:dxf>
          </x14:cfRule>
          <xm:sqref>F75:G75</xm:sqref>
        </x14:conditionalFormatting>
        <x14:conditionalFormatting xmlns:xm="http://schemas.microsoft.com/office/excel/2006/main">
          <x14:cfRule type="cellIs" priority="44" operator="equal" id="{3AA25921-4D1A-4ADD-A301-C5F4078C1CAE}">
            <xm:f>'Language table'!$B$3</xm:f>
            <x14:dxf>
              <fill>
                <patternFill>
                  <bgColor theme="0" tint="-0.14996795556505021"/>
                </patternFill>
              </fill>
            </x14:dxf>
          </x14:cfRule>
          <xm:sqref>E27</xm:sqref>
        </x14:conditionalFormatting>
        <x14:conditionalFormatting xmlns:xm="http://schemas.microsoft.com/office/excel/2006/main">
          <x14:cfRule type="cellIs" priority="59" operator="equal" id="{D7A3471A-5F2D-4BB5-A724-006F7DC04A70}">
            <xm:f>'Language table'!$B$3</xm:f>
            <x14:dxf>
              <fill>
                <patternFill>
                  <bgColor theme="0" tint="-0.14996795556505021"/>
                </patternFill>
              </fill>
            </x14:dxf>
          </x14:cfRule>
          <xm:sqref>E14</xm:sqref>
        </x14:conditionalFormatting>
        <x14:conditionalFormatting xmlns:xm="http://schemas.microsoft.com/office/excel/2006/main">
          <x14:cfRule type="expression" priority="58" id="{BE34D81B-C914-4C56-A23B-BF2976220509}">
            <xm:f>OR(E14='Language table'!$D$6,E14='Language table'!$E$6)</xm:f>
            <x14:dxf>
              <fill>
                <patternFill>
                  <bgColor theme="0" tint="-0.14996795556505021"/>
                </patternFill>
              </fill>
            </x14:dxf>
          </x14:cfRule>
          <xm:sqref>F14:G14</xm:sqref>
        </x14:conditionalFormatting>
        <x14:conditionalFormatting xmlns:xm="http://schemas.microsoft.com/office/excel/2006/main">
          <x14:cfRule type="cellIs" priority="56" operator="equal" id="{6BDC5CB5-ABE6-4817-A5A9-A396B85CA3B6}">
            <xm:f>'Language table'!$B$3</xm:f>
            <x14:dxf>
              <fill>
                <patternFill>
                  <bgColor theme="0" tint="-0.14996795556505021"/>
                </patternFill>
              </fill>
            </x14:dxf>
          </x14:cfRule>
          <xm:sqref>E16</xm:sqref>
        </x14:conditionalFormatting>
        <x14:conditionalFormatting xmlns:xm="http://schemas.microsoft.com/office/excel/2006/main">
          <x14:cfRule type="expression" priority="55" id="{1376CE1D-C9EB-417B-B3F1-66A63BC7B825}">
            <xm:f>OR(E16='Language table'!$D$6,E16='Language table'!$E$6)</xm:f>
            <x14:dxf>
              <fill>
                <patternFill>
                  <bgColor theme="0" tint="-0.14996795556505021"/>
                </patternFill>
              </fill>
            </x14:dxf>
          </x14:cfRule>
          <xm:sqref>F16:G16</xm:sqref>
        </x14:conditionalFormatting>
        <x14:conditionalFormatting xmlns:xm="http://schemas.microsoft.com/office/excel/2006/main">
          <x14:cfRule type="cellIs" priority="53" operator="equal" id="{A6C445DC-CD86-4E5C-9321-1B48876FC694}">
            <xm:f>'Language table'!$B$3</xm:f>
            <x14:dxf>
              <fill>
                <patternFill>
                  <bgColor theme="0" tint="-0.14996795556505021"/>
                </patternFill>
              </fill>
            </x14:dxf>
          </x14:cfRule>
          <xm:sqref>E18</xm:sqref>
        </x14:conditionalFormatting>
        <x14:conditionalFormatting xmlns:xm="http://schemas.microsoft.com/office/excel/2006/main">
          <x14:cfRule type="expression" priority="52" id="{F12E621B-72F4-44E2-BF66-652A35684953}">
            <xm:f>OR(E18='Language table'!$D$6,E18='Language table'!$E$6)</xm:f>
            <x14:dxf>
              <fill>
                <patternFill>
                  <bgColor theme="0" tint="-0.14996795556505021"/>
                </patternFill>
              </fill>
            </x14:dxf>
          </x14:cfRule>
          <xm:sqref>F18:G18</xm:sqref>
        </x14:conditionalFormatting>
        <x14:conditionalFormatting xmlns:xm="http://schemas.microsoft.com/office/excel/2006/main">
          <x14:cfRule type="cellIs" priority="50" operator="equal" id="{B8317FCA-BB5D-4ABB-8B3B-E0172CA5E5FF}">
            <xm:f>'Language table'!$B$3</xm:f>
            <x14:dxf>
              <fill>
                <patternFill>
                  <bgColor theme="0" tint="-0.14996795556505021"/>
                </patternFill>
              </fill>
            </x14:dxf>
          </x14:cfRule>
          <xm:sqref>E20</xm:sqref>
        </x14:conditionalFormatting>
        <x14:conditionalFormatting xmlns:xm="http://schemas.microsoft.com/office/excel/2006/main">
          <x14:cfRule type="expression" priority="49" id="{E487DC92-91A8-4E7C-B524-EB80BA437721}">
            <xm:f>OR(E20='Language table'!$D$6,E20='Language table'!$E$6)</xm:f>
            <x14:dxf>
              <fill>
                <patternFill>
                  <bgColor theme="0" tint="-0.14996795556505021"/>
                </patternFill>
              </fill>
            </x14:dxf>
          </x14:cfRule>
          <xm:sqref>F20:G20</xm:sqref>
        </x14:conditionalFormatting>
        <x14:conditionalFormatting xmlns:xm="http://schemas.microsoft.com/office/excel/2006/main">
          <x14:cfRule type="cellIs" priority="47" operator="equal" id="{9E5CD2B5-3B5E-4E13-B56B-BC36EE178EA9}">
            <xm:f>'Language table'!$B$3</xm:f>
            <x14:dxf>
              <fill>
                <patternFill>
                  <bgColor theme="0" tint="-0.14996795556505021"/>
                </patternFill>
              </fill>
            </x14:dxf>
          </x14:cfRule>
          <xm:sqref>E25</xm:sqref>
        </x14:conditionalFormatting>
        <x14:conditionalFormatting xmlns:xm="http://schemas.microsoft.com/office/excel/2006/main">
          <x14:cfRule type="expression" priority="46" id="{383E8B25-1CDD-47DB-BDA5-9F951B3C185F}">
            <xm:f>OR(E25='Language table'!$D$6,E25='Language table'!$E$6)</xm:f>
            <x14:dxf>
              <fill>
                <patternFill>
                  <bgColor theme="0" tint="-0.14996795556505021"/>
                </patternFill>
              </fill>
            </x14:dxf>
          </x14:cfRule>
          <xm:sqref>F25:G25</xm:sqref>
        </x14:conditionalFormatting>
        <x14:conditionalFormatting xmlns:xm="http://schemas.microsoft.com/office/excel/2006/main">
          <x14:cfRule type="expression" priority="43" id="{AAF06BB9-3B9A-4AFC-A30A-C3AEAE46F766}">
            <xm:f>OR(E27='Language table'!$D$6,E27='Language table'!$E$6)</xm:f>
            <x14:dxf>
              <fill>
                <patternFill>
                  <bgColor theme="0" tint="-0.14996795556505021"/>
                </patternFill>
              </fill>
            </x14:dxf>
          </x14:cfRule>
          <xm:sqref>F27:G27</xm:sqref>
        </x14:conditionalFormatting>
        <x14:conditionalFormatting xmlns:xm="http://schemas.microsoft.com/office/excel/2006/main">
          <x14:cfRule type="cellIs" priority="41" operator="equal" id="{408535C3-DE93-4B4C-A272-3B9A04EFA9DE}">
            <xm:f>'Language table'!$B$3</xm:f>
            <x14:dxf>
              <fill>
                <patternFill>
                  <bgColor theme="0" tint="-0.14996795556505021"/>
                </patternFill>
              </fill>
            </x14:dxf>
          </x14:cfRule>
          <xm:sqref>E29</xm:sqref>
        </x14:conditionalFormatting>
        <x14:conditionalFormatting xmlns:xm="http://schemas.microsoft.com/office/excel/2006/main">
          <x14:cfRule type="expression" priority="40" id="{90437EB9-AB8F-477D-A868-CA707CDDEC8F}">
            <xm:f>OR(E29='Language table'!$D$6,E29='Language table'!$E$6)</xm:f>
            <x14:dxf>
              <fill>
                <patternFill>
                  <bgColor theme="0" tint="-0.14996795556505021"/>
                </patternFill>
              </fill>
            </x14:dxf>
          </x14:cfRule>
          <xm:sqref>F29:G29</xm:sqref>
        </x14:conditionalFormatting>
        <x14:conditionalFormatting xmlns:xm="http://schemas.microsoft.com/office/excel/2006/main">
          <x14:cfRule type="cellIs" priority="38" operator="equal" id="{64F4A26A-41CE-4CBF-8A84-02E69790D215}">
            <xm:f>'Language table'!$B$3</xm:f>
            <x14:dxf>
              <fill>
                <patternFill>
                  <bgColor theme="0" tint="-0.14996795556505021"/>
                </patternFill>
              </fill>
            </x14:dxf>
          </x14:cfRule>
          <xm:sqref>E31</xm:sqref>
        </x14:conditionalFormatting>
        <x14:conditionalFormatting xmlns:xm="http://schemas.microsoft.com/office/excel/2006/main">
          <x14:cfRule type="expression" priority="37" id="{DA4ABCA9-52AC-4D89-B7DA-D8FC95D4BC41}">
            <xm:f>OR(E31='Language table'!$D$6,E31='Language table'!$E$6)</xm:f>
            <x14:dxf>
              <fill>
                <patternFill>
                  <bgColor theme="0" tint="-0.14996795556505021"/>
                </patternFill>
              </fill>
            </x14:dxf>
          </x14:cfRule>
          <xm:sqref>F31:G31</xm:sqref>
        </x14:conditionalFormatting>
        <x14:conditionalFormatting xmlns:xm="http://schemas.microsoft.com/office/excel/2006/main">
          <x14:cfRule type="cellIs" priority="35" operator="equal" id="{2A3F7B41-C0A4-42DA-9798-BD2ABE9590F5}">
            <xm:f>'Language table'!$B$3</xm:f>
            <x14:dxf>
              <fill>
                <patternFill>
                  <bgColor theme="0" tint="-0.14996795556505021"/>
                </patternFill>
              </fill>
            </x14:dxf>
          </x14:cfRule>
          <xm:sqref>E33</xm:sqref>
        </x14:conditionalFormatting>
        <x14:conditionalFormatting xmlns:xm="http://schemas.microsoft.com/office/excel/2006/main">
          <x14:cfRule type="expression" priority="34" id="{F869DBDF-A1DA-4FFF-875C-7E5E0DC164A2}">
            <xm:f>OR(E33='Language table'!$D$6,E33='Language table'!$E$6)</xm:f>
            <x14:dxf>
              <fill>
                <patternFill>
                  <bgColor theme="0" tint="-0.14996795556505021"/>
                </patternFill>
              </fill>
            </x14:dxf>
          </x14:cfRule>
          <xm:sqref>F33:G33</xm:sqref>
        </x14:conditionalFormatting>
        <x14:conditionalFormatting xmlns:xm="http://schemas.microsoft.com/office/excel/2006/main">
          <x14:cfRule type="cellIs" priority="32" operator="equal" id="{7D8EC0EB-11EE-48A2-B9AC-AB7663B716E4}">
            <xm:f>'Language table'!$B$3</xm:f>
            <x14:dxf>
              <fill>
                <patternFill>
                  <bgColor theme="0" tint="-0.14996795556505021"/>
                </patternFill>
              </fill>
            </x14:dxf>
          </x14:cfRule>
          <xm:sqref>E50</xm:sqref>
        </x14:conditionalFormatting>
        <x14:conditionalFormatting xmlns:xm="http://schemas.microsoft.com/office/excel/2006/main">
          <x14:cfRule type="expression" priority="31" id="{5B392D7B-2579-4594-A5BB-0D0A2797A7EF}">
            <xm:f>OR(E50='Language table'!$D$6,E50='Language table'!$E$6)</xm:f>
            <x14:dxf>
              <fill>
                <patternFill>
                  <bgColor theme="0" tint="-0.14996795556505021"/>
                </patternFill>
              </fill>
            </x14:dxf>
          </x14:cfRule>
          <xm:sqref>F50:G50</xm:sqref>
        </x14:conditionalFormatting>
        <x14:conditionalFormatting xmlns:xm="http://schemas.microsoft.com/office/excel/2006/main">
          <x14:cfRule type="cellIs" priority="29" operator="equal" id="{2CDA2F9B-F0CD-47EB-8B05-7FF4FF6C2E82}">
            <xm:f>'Language table'!$B$3</xm:f>
            <x14:dxf>
              <fill>
                <patternFill>
                  <bgColor theme="0" tint="-0.14996795556505021"/>
                </patternFill>
              </fill>
            </x14:dxf>
          </x14:cfRule>
          <xm:sqref>E52</xm:sqref>
        </x14:conditionalFormatting>
        <x14:conditionalFormatting xmlns:xm="http://schemas.microsoft.com/office/excel/2006/main">
          <x14:cfRule type="expression" priority="28" id="{7BE24932-0102-4AA8-B084-901D2641C9FB}">
            <xm:f>OR(E52='Language table'!$D$6,E52='Language table'!$E$6)</xm:f>
            <x14:dxf>
              <fill>
                <patternFill>
                  <bgColor theme="0" tint="-0.14996795556505021"/>
                </patternFill>
              </fill>
            </x14:dxf>
          </x14:cfRule>
          <xm:sqref>F52:G52</xm:sqref>
        </x14:conditionalFormatting>
        <x14:conditionalFormatting xmlns:xm="http://schemas.microsoft.com/office/excel/2006/main">
          <x14:cfRule type="cellIs" priority="26" operator="equal" id="{7A6041FE-2D09-4C24-877B-95E6BA78BCE5}">
            <xm:f>'Language table'!$B$3</xm:f>
            <x14:dxf>
              <fill>
                <patternFill>
                  <bgColor theme="0" tint="-0.14996795556505021"/>
                </patternFill>
              </fill>
            </x14:dxf>
          </x14:cfRule>
          <xm:sqref>E63</xm:sqref>
        </x14:conditionalFormatting>
        <x14:conditionalFormatting xmlns:xm="http://schemas.microsoft.com/office/excel/2006/main">
          <x14:cfRule type="expression" priority="25" id="{8CCBE166-13A2-43E5-AC2E-42A19C33AB21}">
            <xm:f>OR(E63='Language table'!$D$6,E63='Language table'!$E$6)</xm:f>
            <x14:dxf>
              <fill>
                <patternFill>
                  <bgColor theme="0" tint="-0.14996795556505021"/>
                </patternFill>
              </fill>
            </x14:dxf>
          </x14:cfRule>
          <xm:sqref>F63:G63</xm:sqref>
        </x14:conditionalFormatting>
        <x14:conditionalFormatting xmlns:xm="http://schemas.microsoft.com/office/excel/2006/main">
          <x14:cfRule type="cellIs" priority="23" operator="equal" id="{33069229-EFE6-435B-87A9-EBE734715A3C}">
            <xm:f>'Language table'!$B$3</xm:f>
            <x14:dxf>
              <fill>
                <patternFill>
                  <bgColor theme="0" tint="-0.14996795556505021"/>
                </patternFill>
              </fill>
            </x14:dxf>
          </x14:cfRule>
          <xm:sqref>E35</xm:sqref>
        </x14:conditionalFormatting>
        <x14:conditionalFormatting xmlns:xm="http://schemas.microsoft.com/office/excel/2006/main">
          <x14:cfRule type="expression" priority="22" id="{0552DE11-3353-49B3-93DA-D952A2D8214E}">
            <xm:f>OR(E35='Language table'!$D$6,E35='Language table'!$E$6)</xm:f>
            <x14:dxf>
              <fill>
                <patternFill>
                  <bgColor theme="0" tint="-0.14996795556505021"/>
                </patternFill>
              </fill>
            </x14:dxf>
          </x14:cfRule>
          <xm:sqref>F35:G35</xm:sqref>
        </x14:conditionalFormatting>
        <x14:conditionalFormatting xmlns:xm="http://schemas.microsoft.com/office/excel/2006/main">
          <x14:cfRule type="cellIs" priority="20" operator="equal" id="{28C49B24-506B-4C39-B69E-E427E89FC328}">
            <xm:f>'Language table'!$B$3</xm:f>
            <x14:dxf>
              <fill>
                <patternFill>
                  <bgColor theme="0" tint="-0.14996795556505021"/>
                </patternFill>
              </fill>
            </x14:dxf>
          </x14:cfRule>
          <xm:sqref>E40</xm:sqref>
        </x14:conditionalFormatting>
        <x14:conditionalFormatting xmlns:xm="http://schemas.microsoft.com/office/excel/2006/main">
          <x14:cfRule type="expression" priority="19" id="{4BD02B37-51A4-4213-A335-5A6E24D335F3}">
            <xm:f>OR(E40='Language table'!$D$6,E40='Language table'!$E$6)</xm:f>
            <x14:dxf>
              <fill>
                <patternFill>
                  <bgColor theme="0" tint="-0.14996795556505021"/>
                </patternFill>
              </fill>
            </x14:dxf>
          </x14:cfRule>
          <xm:sqref>F40:G40</xm:sqref>
        </x14:conditionalFormatting>
        <x14:conditionalFormatting xmlns:xm="http://schemas.microsoft.com/office/excel/2006/main">
          <x14:cfRule type="cellIs" priority="17" operator="equal" id="{37AF3403-C7AE-4268-9384-83C7B1DACABE}">
            <xm:f>'Language table'!$B$3</xm:f>
            <x14:dxf>
              <fill>
                <patternFill>
                  <bgColor theme="0" tint="-0.14996795556505021"/>
                </patternFill>
              </fill>
            </x14:dxf>
          </x14:cfRule>
          <xm:sqref>E45</xm:sqref>
        </x14:conditionalFormatting>
        <x14:conditionalFormatting xmlns:xm="http://schemas.microsoft.com/office/excel/2006/main">
          <x14:cfRule type="expression" priority="16" id="{99FE9ECF-088B-434F-93F9-FB6F14675C80}">
            <xm:f>OR(E45='Language table'!$D$6,E45='Language table'!$E$6)</xm:f>
            <x14:dxf>
              <fill>
                <patternFill>
                  <bgColor theme="0" tint="-0.14996795556505021"/>
                </patternFill>
              </fill>
            </x14:dxf>
          </x14:cfRule>
          <xm:sqref>F45:G45</xm:sqref>
        </x14:conditionalFormatting>
        <x14:conditionalFormatting xmlns:xm="http://schemas.microsoft.com/office/excel/2006/main">
          <x14:cfRule type="cellIs" priority="11" operator="equal" id="{FF46D4E8-0CC3-4BFD-A776-968BA5A2058E}">
            <xm:f>'Language table'!$B$3</xm:f>
            <x14:dxf>
              <fill>
                <patternFill>
                  <bgColor theme="0" tint="-0.14996795556505021"/>
                </patternFill>
              </fill>
            </x14:dxf>
          </x14:cfRule>
          <xm:sqref>E57</xm:sqref>
        </x14:conditionalFormatting>
        <x14:conditionalFormatting xmlns:xm="http://schemas.microsoft.com/office/excel/2006/main">
          <x14:cfRule type="expression" priority="10" id="{1319B297-E2E2-4C54-838E-1BCDA8B031B5}">
            <xm:f>OR(E57='Language table'!$D$6,E57='Language table'!$E$6)</xm:f>
            <x14:dxf>
              <fill>
                <patternFill>
                  <bgColor theme="0" tint="-0.14996795556505021"/>
                </patternFill>
              </fill>
            </x14:dxf>
          </x14:cfRule>
          <xm:sqref>F57:G57</xm:sqref>
        </x14:conditionalFormatting>
        <x14:conditionalFormatting xmlns:xm="http://schemas.microsoft.com/office/excel/2006/main">
          <x14:cfRule type="cellIs" priority="8" operator="equal" id="{21AD50FC-66D1-4FCB-9C73-4929A06D8CFB}">
            <xm:f>'Language table'!$B$3</xm:f>
            <x14:dxf>
              <fill>
                <patternFill>
                  <bgColor theme="0" tint="-0.14996795556505021"/>
                </patternFill>
              </fill>
            </x14:dxf>
          </x14:cfRule>
          <xm:sqref>E64:E65</xm:sqref>
        </x14:conditionalFormatting>
        <x14:conditionalFormatting xmlns:xm="http://schemas.microsoft.com/office/excel/2006/main">
          <x14:cfRule type="cellIs" priority="5" operator="equal" id="{1BC14B3D-9AB4-4781-A8E4-FDF403AB5811}">
            <xm:f>'Language table'!$B$3</xm:f>
            <x14:dxf>
              <fill>
                <patternFill>
                  <bgColor theme="0" tint="-0.14996795556505021"/>
                </patternFill>
              </fill>
            </x14:dxf>
          </x14:cfRule>
          <xm:sqref>E69</xm:sqref>
        </x14:conditionalFormatting>
        <x14:conditionalFormatting xmlns:xm="http://schemas.microsoft.com/office/excel/2006/main">
          <x14:cfRule type="expression" priority="4" id="{59083490-62A1-457F-A3A3-0527E5E6D635}">
            <xm:f>OR(E69='Language table'!$D$6,E69='Language table'!$E$6)</xm:f>
            <x14:dxf>
              <fill>
                <patternFill>
                  <bgColor theme="0" tint="-0.14996795556505021"/>
                </patternFill>
              </fill>
            </x14:dxf>
          </x14:cfRule>
          <xm:sqref>F69:G69</xm:sqref>
        </x14:conditionalFormatting>
        <x14:conditionalFormatting xmlns:xm="http://schemas.microsoft.com/office/excel/2006/main">
          <x14:cfRule type="containsText" priority="2" operator="containsText" id="{C5149D5D-E792-4987-857B-A4B28B6398CE}">
            <xm:f>NOT(ISERROR(SEARCH(HLOOKUP(Language,Translation,271),C65)))</xm:f>
            <xm:f>HLOOKUP(Language,Translation,271)</xm:f>
            <x14:dxf>
              <fill>
                <patternFill>
                  <bgColor theme="0" tint="-0.14996795556505021"/>
                </patternFill>
              </fill>
            </x14:dxf>
          </x14:cfRule>
          <xm:sqref>C65 F65</xm:sqref>
        </x14:conditionalFormatting>
        <x14:conditionalFormatting xmlns:xm="http://schemas.microsoft.com/office/excel/2006/main">
          <x14:cfRule type="expression" priority="1" id="{E4AA9DFD-9A0B-4A77-966F-D202E948A390}">
            <xm:f>$E$64='Language table'!$D$4</xm:f>
            <x14:dxf>
              <font>
                <color theme="0"/>
              </font>
              <fill>
                <patternFill>
                  <bgColor theme="0"/>
                </patternFill>
              </fill>
            </x14:dxf>
          </x14:cfRule>
          <xm:sqref>A65:G65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2F8F-B870-467A-AF43-65C856AB7AE5}">
  <dimension ref="A1:U335"/>
  <sheetViews>
    <sheetView topLeftCell="A189" zoomScale="80" zoomScaleNormal="80" zoomScaleSheetLayoutView="10" workbookViewId="0">
      <selection activeCell="L40" sqref="L40"/>
    </sheetView>
  </sheetViews>
  <sheetFormatPr baseColWidth="10" defaultColWidth="11.5703125" defaultRowHeight="12.75"/>
  <cols>
    <col min="1" max="1" width="14.140625" customWidth="1"/>
    <col min="2" max="2" width="89.42578125" customWidth="1"/>
    <col min="3" max="3" width="82.42578125" customWidth="1"/>
    <col min="4" max="4" width="10.7109375" customWidth="1"/>
    <col min="5" max="5" width="32.7109375" bestFit="1" customWidth="1"/>
    <col min="6" max="6" width="29.42578125" bestFit="1" customWidth="1"/>
    <col min="7" max="7" width="26.28515625" customWidth="1"/>
    <col min="8" max="8" width="7.140625" customWidth="1"/>
    <col min="9" max="9" width="6.7109375" customWidth="1"/>
    <col min="10" max="10" width="6.42578125" customWidth="1"/>
    <col min="11" max="11" width="8.140625" customWidth="1"/>
    <col min="12" max="12" width="47" bestFit="1" customWidth="1"/>
    <col min="13" max="13" width="12.140625" bestFit="1" customWidth="1"/>
    <col min="14" max="14" width="32" bestFit="1" customWidth="1"/>
    <col min="15" max="15" width="37.140625" bestFit="1" customWidth="1"/>
    <col min="16" max="16" width="3.7109375" customWidth="1"/>
    <col min="17" max="17" width="11.42578125" customWidth="1"/>
    <col min="18" max="18" width="9.28515625" bestFit="1" customWidth="1"/>
    <col min="19" max="19" width="35.140625" customWidth="1"/>
    <col min="20" max="20" width="40.7109375" customWidth="1"/>
    <col min="21" max="21" width="47.42578125" bestFit="1" customWidth="1"/>
  </cols>
  <sheetData>
    <row r="1" spans="1:21">
      <c r="A1" s="1"/>
      <c r="B1" s="1"/>
      <c r="C1" s="1"/>
      <c r="D1" s="1"/>
      <c r="E1" s="1"/>
      <c r="F1" s="1"/>
      <c r="G1" s="2"/>
      <c r="H1" s="1"/>
      <c r="I1" s="1"/>
      <c r="J1" s="1"/>
      <c r="K1" s="1"/>
      <c r="L1" s="1"/>
    </row>
    <row r="2" spans="1:21">
      <c r="A2" s="1"/>
      <c r="B2" s="1"/>
      <c r="C2" s="1"/>
      <c r="D2" s="1"/>
      <c r="E2" s="1"/>
      <c r="F2" s="1"/>
      <c r="G2" s="2"/>
      <c r="H2" s="1"/>
      <c r="I2" s="1"/>
      <c r="J2" s="1"/>
      <c r="K2" s="1"/>
      <c r="L2" s="1"/>
    </row>
    <row r="3" spans="1:21" s="102" customFormat="1" ht="13.5" thickBot="1">
      <c r="A3" s="101" t="s">
        <v>118</v>
      </c>
      <c r="B3" s="101" t="s">
        <v>113</v>
      </c>
      <c r="C3" s="270" t="str">
        <f>G12</f>
        <v>VC1</v>
      </c>
      <c r="D3" s="270" t="str">
        <f t="shared" ref="D3:F3" si="0">H12</f>
        <v>VC2</v>
      </c>
      <c r="E3" s="270" t="str">
        <f t="shared" si="0"/>
        <v>VC3</v>
      </c>
      <c r="F3" s="270" t="str">
        <f t="shared" si="0"/>
        <v>VC4</v>
      </c>
      <c r="G3" s="101"/>
      <c r="H3" s="101"/>
      <c r="I3" s="101"/>
      <c r="J3" s="101"/>
      <c r="K3" s="101"/>
      <c r="L3" s="58" t="s">
        <v>232</v>
      </c>
      <c r="M3" s="59">
        <f>COUNTIF('D Social Responsibility'!$E$13:$E$75,'Language table'!C6)*6+COUNTIF('D Social Responsibility'!$E$13:$E$75,'Language table'!D6)*3</f>
        <v>0</v>
      </c>
      <c r="N3" s="62" t="s">
        <v>233</v>
      </c>
      <c r="O3" s="63" t="e">
        <f>IF(OR(VC="VC1",VC="VC2"),126,120)</f>
        <v>#REF!</v>
      </c>
    </row>
    <row r="4" spans="1:21" ht="15.75" thickBot="1">
      <c r="A4" s="2" t="s">
        <v>141</v>
      </c>
      <c r="B4" s="2" t="str">
        <f>$B$3</f>
        <v>Please select!</v>
      </c>
      <c r="C4" s="271" t="str">
        <f>HLOOKUP(Language,Translation,23)</f>
        <v>Ja</v>
      </c>
      <c r="D4" s="272" t="str">
        <f>HLOOKUP(Language,Translation,24)</f>
        <v>Nein</v>
      </c>
      <c r="E4" s="272"/>
      <c r="F4" s="272"/>
      <c r="G4" s="1"/>
      <c r="H4" s="1"/>
      <c r="I4" s="1"/>
      <c r="J4" s="1"/>
      <c r="K4" s="1"/>
      <c r="L4" s="60" t="s">
        <v>17</v>
      </c>
      <c r="M4" s="84" t="e">
        <f>M3/O3</f>
        <v>#REF!</v>
      </c>
      <c r="N4" s="61" t="e">
        <f>IF(M4&gt;0.75,"The total number of points is sufficient.","The total number of points is not sufficient.")</f>
        <v>#REF!</v>
      </c>
      <c r="O4" s="64" t="str">
        <f>IF(OR('D Social Responsibility'!E16&lt;&gt;'Language table'!C6,'D Social Responsibility'!E52&lt;&gt;'Language table'!C6,'D Social Responsibility'!E57&lt;&gt;'Language table'!C6),"Dealbreaker","All dealbreaker passed")</f>
        <v>Dealbreaker</v>
      </c>
    </row>
    <row r="5" spans="1:21" ht="13.5" thickBot="1">
      <c r="A5" s="9" t="s">
        <v>167</v>
      </c>
      <c r="B5" s="2" t="str">
        <f>$B$3</f>
        <v>Please select!</v>
      </c>
      <c r="C5" s="273" t="str">
        <f>HLOOKUP(Language,Translation,106)</f>
        <v>Regelmäßig</v>
      </c>
      <c r="D5" s="273" t="str">
        <f>HLOOKUP(Language,Translation,107)</f>
        <v>Teilweise</v>
      </c>
      <c r="E5" s="273" t="str">
        <f>HLOOKUP(Language,Translation,108)</f>
        <v>Zur Zeit nicht</v>
      </c>
      <c r="F5" s="272"/>
      <c r="G5" s="1"/>
      <c r="H5" s="1"/>
      <c r="I5" s="1"/>
      <c r="J5" s="1"/>
      <c r="K5" s="1"/>
      <c r="L5" s="1"/>
      <c r="M5" s="1"/>
    </row>
    <row r="6" spans="1:21" ht="13.5" thickBot="1">
      <c r="A6" s="2" t="s">
        <v>228</v>
      </c>
      <c r="B6" s="2" t="str">
        <f>$B$3</f>
        <v>Please select!</v>
      </c>
      <c r="C6" s="271" t="str">
        <f>HLOOKUP(Language,Translation,23)</f>
        <v>Ja</v>
      </c>
      <c r="D6" s="273" t="str">
        <f>HLOOKUP(Language,Translation,107)</f>
        <v>Teilweise</v>
      </c>
      <c r="E6" s="272" t="str">
        <f>HLOOKUP(Language,Translation,24)</f>
        <v>Nein</v>
      </c>
      <c r="F6" s="273"/>
      <c r="H6" s="1"/>
      <c r="I6" s="1"/>
      <c r="J6" s="1"/>
      <c r="K6" s="1"/>
      <c r="L6" s="1"/>
      <c r="M6" s="1"/>
      <c r="N6" s="584" t="e">
        <f>IF(AND(N4="The total number of points is sufficient.",O4="All dealbreaker passed"),HLOOKUP(Language,Translation,243),HLOOKUP(Language,Translation,244))</f>
        <v>#REF!</v>
      </c>
      <c r="O6" s="585"/>
    </row>
    <row r="7" spans="1:21">
      <c r="A7" s="2" t="s">
        <v>230</v>
      </c>
      <c r="B7" s="2" t="str">
        <f>$B$3</f>
        <v>Please select!</v>
      </c>
      <c r="C7" s="271" t="str">
        <f>HLOOKUP(Language,Translation,222)</f>
        <v>rot</v>
      </c>
      <c r="D7" s="271" t="str">
        <f>HLOOKUP(Language,Translation,213)</f>
        <v>gelb</v>
      </c>
      <c r="E7" s="273" t="str">
        <f>HLOOKUP(Language,Translation,214)</f>
        <v>grün</v>
      </c>
      <c r="F7" s="272"/>
      <c r="G7" s="1"/>
      <c r="H7" s="1"/>
      <c r="I7" s="1"/>
      <c r="J7" s="1"/>
      <c r="K7" s="1"/>
      <c r="L7" s="1"/>
      <c r="M7" s="1"/>
    </row>
    <row r="8" spans="1:21" ht="25.5">
      <c r="A8" s="2" t="s">
        <v>636</v>
      </c>
      <c r="B8" s="2" t="str">
        <f>$B$3</f>
        <v>Please select!</v>
      </c>
      <c r="C8" s="271" t="str">
        <f>HLOOKUP(Language,Translation,232)</f>
        <v>Freigegeben</v>
      </c>
      <c r="D8" s="271" t="str">
        <f>HLOOKUP(Language,Translation,233)</f>
        <v>Bedingt freigegeben</v>
      </c>
      <c r="E8" s="273" t="str">
        <f>HLOOKUP(Language,Translation,234)</f>
        <v>Nicht freigegeben</v>
      </c>
      <c r="F8" s="272"/>
      <c r="G8" s="1"/>
      <c r="H8" s="1"/>
      <c r="I8" s="1"/>
      <c r="J8" s="1"/>
      <c r="K8" s="1"/>
      <c r="L8" s="1"/>
      <c r="M8" s="1"/>
      <c r="R8" s="81" t="s">
        <v>666</v>
      </c>
    </row>
    <row r="9" spans="1:21">
      <c r="A9" s="1"/>
      <c r="B9" s="1"/>
      <c r="C9" s="272"/>
      <c r="D9" s="272"/>
      <c r="E9" s="273"/>
      <c r="F9" s="273"/>
      <c r="G9" s="10"/>
      <c r="H9" s="10"/>
      <c r="I9" s="11"/>
      <c r="J9" s="11"/>
      <c r="K9" s="11"/>
      <c r="L9" t="s">
        <v>393</v>
      </c>
      <c r="N9" s="12"/>
      <c r="U9" t="str">
        <f>B3</f>
        <v>Please select!</v>
      </c>
    </row>
    <row r="10" spans="1:21">
      <c r="A10" s="105"/>
      <c r="B10" s="106" t="s">
        <v>114</v>
      </c>
      <c r="C10" s="105"/>
      <c r="D10" s="7"/>
      <c r="E10" s="66"/>
      <c r="F10" s="7"/>
      <c r="G10" s="107"/>
      <c r="H10" s="107"/>
      <c r="I10" s="107"/>
      <c r="J10" s="107"/>
      <c r="K10" s="107"/>
      <c r="L10" s="7" t="str">
        <f>$B$3</f>
        <v>Please select!</v>
      </c>
      <c r="N10" s="83" t="str">
        <f>B11</f>
        <v>DE</v>
      </c>
      <c r="O10" s="4" t="str">
        <f>C11</f>
        <v>EN</v>
      </c>
      <c r="P10" s="83">
        <v>1</v>
      </c>
      <c r="R10" s="85" t="s">
        <v>668</v>
      </c>
      <c r="S10" s="85" t="s">
        <v>669</v>
      </c>
      <c r="T10" s="85" t="s">
        <v>670</v>
      </c>
      <c r="U10" t="str">
        <f t="shared" ref="U10:U41" si="1">CONCATENATE(R10&amp;" "&amp;IF(Language=$B$11,S10,T10))</f>
        <v>EUR Europäischer Euro</v>
      </c>
    </row>
    <row r="11" spans="1:21">
      <c r="A11" s="108">
        <v>1</v>
      </c>
      <c r="B11" s="109" t="s">
        <v>1263</v>
      </c>
      <c r="C11" s="109" t="s">
        <v>1264</v>
      </c>
      <c r="D11" s="105"/>
      <c r="E11" s="124" t="s">
        <v>117</v>
      </c>
      <c r="F11" s="124"/>
      <c r="G11" s="274" t="s">
        <v>391</v>
      </c>
      <c r="H11" s="128"/>
      <c r="I11" s="128"/>
      <c r="J11" s="128"/>
      <c r="K11" s="7"/>
      <c r="L11" s="110" t="str">
        <f>M11&amp;" "&amp;HLOOKUP(Language,TCname,P11)</f>
        <v>TCAB0000 Kugelgelenke, Stabianlenkungen</v>
      </c>
      <c r="M11" s="81" t="s">
        <v>394</v>
      </c>
      <c r="N11" s="81" t="s">
        <v>519</v>
      </c>
      <c r="O11" s="81" t="s">
        <v>395</v>
      </c>
      <c r="P11" s="277">
        <v>2</v>
      </c>
      <c r="Q11" s="65"/>
      <c r="R11" s="85" t="s">
        <v>671</v>
      </c>
      <c r="S11" s="85" t="s">
        <v>672</v>
      </c>
      <c r="T11" s="85" t="s">
        <v>673</v>
      </c>
      <c r="U11" t="str">
        <f t="shared" si="1"/>
        <v>USD US Amerikanische Dollar</v>
      </c>
    </row>
    <row r="12" spans="1:21">
      <c r="A12" s="109">
        <v>2</v>
      </c>
      <c r="B12" s="7" t="s">
        <v>1383</v>
      </c>
      <c r="C12" s="7" t="s">
        <v>1384</v>
      </c>
      <c r="D12" s="105"/>
      <c r="E12" s="128" t="str">
        <f>$B$3</f>
        <v>Please select!</v>
      </c>
      <c r="F12" s="124"/>
      <c r="G12" s="275" t="s">
        <v>119</v>
      </c>
      <c r="H12" s="275" t="s">
        <v>120</v>
      </c>
      <c r="I12" s="275" t="s">
        <v>121</v>
      </c>
      <c r="J12" s="275" t="s">
        <v>122</v>
      </c>
      <c r="K12" s="7"/>
      <c r="L12" s="110" t="str">
        <f t="shared" ref="L12:L42" si="2">M12&amp;" "&amp;HLOOKUP(Language,TCname,P12)</f>
        <v>TCACF000 Gussteile (Ferrous)</v>
      </c>
      <c r="M12" s="81" t="s">
        <v>396</v>
      </c>
      <c r="N12" s="81" t="s">
        <v>529</v>
      </c>
      <c r="O12" s="81" t="s">
        <v>397</v>
      </c>
      <c r="P12" s="277">
        <v>3</v>
      </c>
      <c r="Q12" s="65"/>
      <c r="R12" s="85" t="s">
        <v>674</v>
      </c>
      <c r="S12" s="85" t="s">
        <v>675</v>
      </c>
      <c r="T12" s="85" t="s">
        <v>676</v>
      </c>
      <c r="U12" t="str">
        <f t="shared" si="1"/>
        <v>CNY Chinesischer Renminbi</v>
      </c>
    </row>
    <row r="13" spans="1:21">
      <c r="A13" s="109">
        <v>3</v>
      </c>
      <c r="B13" s="7" t="s">
        <v>614</v>
      </c>
      <c r="C13" s="110" t="s">
        <v>615</v>
      </c>
      <c r="D13" s="105"/>
      <c r="E13" s="124" t="s">
        <v>123</v>
      </c>
      <c r="F13" s="124"/>
      <c r="G13" s="276" t="s">
        <v>281</v>
      </c>
      <c r="H13" s="276" t="s">
        <v>281</v>
      </c>
      <c r="I13" s="276" t="s">
        <v>281</v>
      </c>
      <c r="J13" s="276" t="s">
        <v>281</v>
      </c>
      <c r="K13" s="7"/>
      <c r="L13" s="110" t="str">
        <f t="shared" si="2"/>
        <v>TCACI000 Feinguss</v>
      </c>
      <c r="M13" s="81" t="s">
        <v>398</v>
      </c>
      <c r="N13" s="81" t="s">
        <v>531</v>
      </c>
      <c r="O13" s="81" t="s">
        <v>399</v>
      </c>
      <c r="P13" s="278">
        <v>4</v>
      </c>
      <c r="R13" s="85" t="s">
        <v>677</v>
      </c>
      <c r="S13" s="85" t="s">
        <v>678</v>
      </c>
      <c r="T13" s="85" t="s">
        <v>679</v>
      </c>
      <c r="U13" t="str">
        <f t="shared" si="1"/>
        <v>ADP Andorianische Peseta</v>
      </c>
    </row>
    <row r="14" spans="1:21">
      <c r="A14" s="109">
        <v>4</v>
      </c>
      <c r="B14" s="7" t="s">
        <v>1425</v>
      </c>
      <c r="C14" s="7" t="s">
        <v>1426</v>
      </c>
      <c r="D14" s="105"/>
      <c r="E14" s="124" t="s">
        <v>124</v>
      </c>
      <c r="F14" s="124"/>
      <c r="G14" s="276" t="s">
        <v>281</v>
      </c>
      <c r="H14" s="276" t="s">
        <v>282</v>
      </c>
      <c r="I14" s="276" t="s">
        <v>283</v>
      </c>
      <c r="J14" s="276" t="s">
        <v>283</v>
      </c>
      <c r="K14" s="105"/>
      <c r="L14" s="110" t="str">
        <f t="shared" si="2"/>
        <v>TCACN000 Gussteile (Non-Ferrous)</v>
      </c>
      <c r="M14" s="81" t="s">
        <v>400</v>
      </c>
      <c r="N14" s="81" t="s">
        <v>530</v>
      </c>
      <c r="O14" s="81" t="s">
        <v>401</v>
      </c>
      <c r="P14" s="277">
        <v>5</v>
      </c>
      <c r="R14" s="85" t="s">
        <v>680</v>
      </c>
      <c r="S14" s="85" t="s">
        <v>681</v>
      </c>
      <c r="T14" s="85" t="s">
        <v>682</v>
      </c>
      <c r="U14" t="str">
        <f t="shared" si="1"/>
        <v>AED Vereinigte Arabische Emirate Dirham</v>
      </c>
    </row>
    <row r="15" spans="1:21">
      <c r="A15" s="109">
        <v>5</v>
      </c>
      <c r="B15" s="7" t="s">
        <v>181</v>
      </c>
      <c r="C15" s="7" t="s">
        <v>148</v>
      </c>
      <c r="D15" s="105"/>
      <c r="E15" s="124" t="s">
        <v>125</v>
      </c>
      <c r="F15" s="124"/>
      <c r="G15" s="276" t="s">
        <v>281</v>
      </c>
      <c r="H15" s="276" t="s">
        <v>282</v>
      </c>
      <c r="I15" s="276" t="s">
        <v>283</v>
      </c>
      <c r="J15" s="276" t="s">
        <v>283</v>
      </c>
      <c r="K15" s="105"/>
      <c r="L15" s="110" t="str">
        <f t="shared" si="2"/>
        <v>TCAFF000 Schmiedeteile, Ferrous</v>
      </c>
      <c r="M15" s="81" t="s">
        <v>402</v>
      </c>
      <c r="N15" s="81" t="s">
        <v>532</v>
      </c>
      <c r="O15" s="81" t="s">
        <v>403</v>
      </c>
      <c r="P15" s="277">
        <v>6</v>
      </c>
      <c r="R15" s="85" t="s">
        <v>683</v>
      </c>
      <c r="S15" s="85" t="s">
        <v>684</v>
      </c>
      <c r="T15" s="85" t="s">
        <v>684</v>
      </c>
      <c r="U15" t="str">
        <f t="shared" si="1"/>
        <v>AFA Afghani</v>
      </c>
    </row>
    <row r="16" spans="1:21">
      <c r="A16" s="109">
        <v>6</v>
      </c>
      <c r="B16" s="7" t="s">
        <v>146</v>
      </c>
      <c r="C16" s="7" t="s">
        <v>0</v>
      </c>
      <c r="D16" s="105"/>
      <c r="E16" s="124" t="s">
        <v>126</v>
      </c>
      <c r="F16" s="124"/>
      <c r="G16" s="276" t="s">
        <v>282</v>
      </c>
      <c r="H16" s="276" t="s">
        <v>282</v>
      </c>
      <c r="I16" s="276" t="s">
        <v>283</v>
      </c>
      <c r="J16" s="276" t="s">
        <v>283</v>
      </c>
      <c r="K16" s="105"/>
      <c r="L16" s="110" t="str">
        <f t="shared" si="2"/>
        <v>TCAFN000 Schmiedeteile, Aluminium</v>
      </c>
      <c r="M16" s="81" t="s">
        <v>404</v>
      </c>
      <c r="N16" s="81" t="s">
        <v>1265</v>
      </c>
      <c r="O16" s="81" t="s">
        <v>405</v>
      </c>
      <c r="P16" s="278">
        <v>7</v>
      </c>
      <c r="R16" s="85" t="s">
        <v>685</v>
      </c>
      <c r="S16" s="85" t="s">
        <v>686</v>
      </c>
      <c r="T16" s="85" t="s">
        <v>687</v>
      </c>
      <c r="U16" t="str">
        <f t="shared" si="1"/>
        <v>ALL Albanische Lek</v>
      </c>
    </row>
    <row r="17" spans="1:21">
      <c r="A17" s="109">
        <v>7</v>
      </c>
      <c r="B17" s="7" t="s">
        <v>145</v>
      </c>
      <c r="C17" s="7" t="s">
        <v>2</v>
      </c>
      <c r="D17" s="105"/>
      <c r="E17" s="124" t="s">
        <v>127</v>
      </c>
      <c r="F17" s="124"/>
      <c r="G17" s="276" t="s">
        <v>282</v>
      </c>
      <c r="H17" s="276" t="s">
        <v>281</v>
      </c>
      <c r="I17" s="276" t="s">
        <v>281</v>
      </c>
      <c r="J17" s="276" t="s">
        <v>282</v>
      </c>
      <c r="K17" s="7"/>
      <c r="L17" s="110" t="str">
        <f t="shared" si="2"/>
        <v>TCAMA000 Stoßdämpfer</v>
      </c>
      <c r="M17" s="81" t="s">
        <v>406</v>
      </c>
      <c r="N17" s="81" t="s">
        <v>533</v>
      </c>
      <c r="O17" s="81" t="s">
        <v>407</v>
      </c>
      <c r="P17" s="277">
        <v>8</v>
      </c>
      <c r="R17" s="85" t="s">
        <v>688</v>
      </c>
      <c r="S17" s="85" t="s">
        <v>689</v>
      </c>
      <c r="T17" s="85" t="s">
        <v>690</v>
      </c>
      <c r="U17" t="str">
        <f t="shared" si="1"/>
        <v>AMD Armenische Dram</v>
      </c>
    </row>
    <row r="18" spans="1:21">
      <c r="A18" s="109">
        <v>8</v>
      </c>
      <c r="B18" s="7" t="s">
        <v>142</v>
      </c>
      <c r="C18" s="7" t="s">
        <v>3</v>
      </c>
      <c r="D18" s="105"/>
      <c r="E18" s="124" t="s">
        <v>128</v>
      </c>
      <c r="F18" s="124"/>
      <c r="G18" s="276" t="s">
        <v>283</v>
      </c>
      <c r="H18" s="276" t="s">
        <v>281</v>
      </c>
      <c r="I18" s="276" t="s">
        <v>283</v>
      </c>
      <c r="J18" s="276" t="s">
        <v>283</v>
      </c>
      <c r="K18" s="105"/>
      <c r="L18" s="110" t="str">
        <f t="shared" si="2"/>
        <v>TCAMAT000 Getriebe</v>
      </c>
      <c r="M18" s="81" t="s">
        <v>408</v>
      </c>
      <c r="N18" s="81" t="s">
        <v>539</v>
      </c>
      <c r="O18" s="81" t="s">
        <v>409</v>
      </c>
      <c r="P18" s="277">
        <v>9</v>
      </c>
      <c r="R18" s="85" t="s">
        <v>691</v>
      </c>
      <c r="S18" s="85" t="s">
        <v>692</v>
      </c>
      <c r="T18" s="85" t="s">
        <v>693</v>
      </c>
      <c r="U18" t="str">
        <f t="shared" si="1"/>
        <v>ANG Antilianische Gulden</v>
      </c>
    </row>
    <row r="19" spans="1:21">
      <c r="A19" s="109">
        <v>9</v>
      </c>
      <c r="B19" s="7" t="s">
        <v>144</v>
      </c>
      <c r="C19" s="7" t="s">
        <v>107</v>
      </c>
      <c r="D19" s="105"/>
      <c r="E19" s="124" t="s">
        <v>129</v>
      </c>
      <c r="F19" s="124"/>
      <c r="G19" s="276" t="s">
        <v>281</v>
      </c>
      <c r="H19" s="276" t="s">
        <v>281</v>
      </c>
      <c r="I19" s="276" t="s">
        <v>281</v>
      </c>
      <c r="J19" s="276" t="s">
        <v>281</v>
      </c>
      <c r="K19" s="7"/>
      <c r="L19" s="110" t="str">
        <f t="shared" si="2"/>
        <v>TCAMB000 Bremskomponenten</v>
      </c>
      <c r="M19" s="81" t="s">
        <v>410</v>
      </c>
      <c r="N19" s="81" t="s">
        <v>534</v>
      </c>
      <c r="O19" s="81" t="s">
        <v>411</v>
      </c>
      <c r="P19" s="278">
        <v>10</v>
      </c>
      <c r="R19" s="85" t="s">
        <v>694</v>
      </c>
      <c r="S19" s="85" t="s">
        <v>695</v>
      </c>
      <c r="T19" s="85" t="s">
        <v>696</v>
      </c>
      <c r="U19" t="str">
        <f t="shared" si="1"/>
        <v>AON Angolanische neue Kwanza</v>
      </c>
    </row>
    <row r="20" spans="1:21">
      <c r="A20" s="109">
        <v>10</v>
      </c>
      <c r="B20" s="7" t="s">
        <v>376</v>
      </c>
      <c r="C20" s="7" t="s">
        <v>4</v>
      </c>
      <c r="D20" s="105"/>
      <c r="E20" s="124" t="s">
        <v>130</v>
      </c>
      <c r="F20" s="124"/>
      <c r="G20" s="276" t="s">
        <v>282</v>
      </c>
      <c r="H20" s="276" t="s">
        <v>282</v>
      </c>
      <c r="I20" s="276" t="s">
        <v>282</v>
      </c>
      <c r="J20" s="276" t="s">
        <v>282</v>
      </c>
      <c r="K20" s="105"/>
      <c r="L20" s="110" t="str">
        <f t="shared" si="2"/>
        <v>TCAMB001 Bremsleitung / Bremsschlauch</v>
      </c>
      <c r="M20" s="81" t="s">
        <v>412</v>
      </c>
      <c r="N20" s="80" t="s">
        <v>567</v>
      </c>
      <c r="O20" s="81" t="s">
        <v>413</v>
      </c>
      <c r="P20" s="277">
        <v>11</v>
      </c>
      <c r="R20" s="85" t="s">
        <v>697</v>
      </c>
      <c r="S20" s="85" t="s">
        <v>698</v>
      </c>
      <c r="T20" s="85" t="s">
        <v>699</v>
      </c>
      <c r="U20" t="str">
        <f t="shared" si="1"/>
        <v>AOR Angolanische Kwanza Reajustado</v>
      </c>
    </row>
    <row r="21" spans="1:21">
      <c r="A21" s="109">
        <v>11</v>
      </c>
      <c r="B21" s="7" t="s">
        <v>1410</v>
      </c>
      <c r="C21" s="7" t="s">
        <v>1411</v>
      </c>
      <c r="D21" s="105"/>
      <c r="E21" s="124" t="s">
        <v>131</v>
      </c>
      <c r="F21" s="124"/>
      <c r="G21" s="276" t="s">
        <v>281</v>
      </c>
      <c r="H21" s="276" t="s">
        <v>281</v>
      </c>
      <c r="I21" s="276" t="s">
        <v>281</v>
      </c>
      <c r="J21" s="276" t="s">
        <v>281</v>
      </c>
      <c r="K21" s="7"/>
      <c r="L21" s="110" t="str">
        <f t="shared" si="2"/>
        <v>TCAMC000 Lenksysteme</v>
      </c>
      <c r="M21" s="81" t="s">
        <v>414</v>
      </c>
      <c r="N21" s="81" t="s">
        <v>535</v>
      </c>
      <c r="O21" s="81" t="s">
        <v>415</v>
      </c>
      <c r="P21" s="277">
        <v>12</v>
      </c>
      <c r="R21" s="85" t="s">
        <v>700</v>
      </c>
      <c r="S21" s="85" t="s">
        <v>701</v>
      </c>
      <c r="T21" s="85" t="s">
        <v>702</v>
      </c>
      <c r="U21" t="str">
        <f t="shared" si="1"/>
        <v>ARS Argentinische Peso</v>
      </c>
    </row>
    <row r="22" spans="1:21">
      <c r="A22" s="109">
        <v>12</v>
      </c>
      <c r="B22" s="7" t="s">
        <v>242</v>
      </c>
      <c r="C22" s="110" t="s">
        <v>1279</v>
      </c>
      <c r="D22" s="105"/>
      <c r="E22" s="124" t="s">
        <v>132</v>
      </c>
      <c r="F22" s="124"/>
      <c r="G22" s="276" t="s">
        <v>281</v>
      </c>
      <c r="H22" s="276" t="s">
        <v>281</v>
      </c>
      <c r="I22" s="276" t="s">
        <v>281</v>
      </c>
      <c r="J22" s="276" t="s">
        <v>281</v>
      </c>
      <c r="K22" s="105"/>
      <c r="L22" s="110" t="str">
        <f t="shared" si="2"/>
        <v>TCAMD000 Abtriebswellen</v>
      </c>
      <c r="M22" s="81" t="s">
        <v>416</v>
      </c>
      <c r="N22" s="81" t="s">
        <v>536</v>
      </c>
      <c r="O22" s="81" t="s">
        <v>417</v>
      </c>
      <c r="P22" s="278">
        <v>13</v>
      </c>
      <c r="R22" s="85" t="s">
        <v>703</v>
      </c>
      <c r="S22" s="85" t="s">
        <v>704</v>
      </c>
      <c r="T22" s="85" t="s">
        <v>705</v>
      </c>
      <c r="U22" t="str">
        <f t="shared" si="1"/>
        <v>ATS Österreichische Schilling</v>
      </c>
    </row>
    <row r="23" spans="1:21">
      <c r="A23" s="109">
        <v>13</v>
      </c>
      <c r="B23" s="7" t="s">
        <v>143</v>
      </c>
      <c r="C23" s="7" t="s">
        <v>1</v>
      </c>
      <c r="D23" s="105"/>
      <c r="E23" s="124" t="s">
        <v>133</v>
      </c>
      <c r="F23" s="124"/>
      <c r="G23" s="276" t="s">
        <v>281</v>
      </c>
      <c r="H23" s="276" t="s">
        <v>619</v>
      </c>
      <c r="I23" s="276" t="s">
        <v>282</v>
      </c>
      <c r="J23" s="276" t="s">
        <v>283</v>
      </c>
      <c r="K23" s="103"/>
      <c r="L23" s="110" t="str">
        <f t="shared" si="2"/>
        <v>TCAMF000 ZSB Modulkomponenten</v>
      </c>
      <c r="M23" s="81" t="s">
        <v>418</v>
      </c>
      <c r="N23" s="81" t="s">
        <v>537</v>
      </c>
      <c r="O23" s="81" t="s">
        <v>419</v>
      </c>
      <c r="P23" s="277">
        <v>14</v>
      </c>
      <c r="R23" s="85" t="s">
        <v>706</v>
      </c>
      <c r="S23" s="85" t="s">
        <v>707</v>
      </c>
      <c r="T23" s="85" t="s">
        <v>708</v>
      </c>
      <c r="U23" t="str">
        <f t="shared" si="1"/>
        <v>AUD Australien Dollar</v>
      </c>
    </row>
    <row r="24" spans="1:21">
      <c r="A24" s="109">
        <v>14</v>
      </c>
      <c r="B24" s="103" t="s">
        <v>1373</v>
      </c>
      <c r="C24" s="7" t="s">
        <v>1372</v>
      </c>
      <c r="D24" s="105"/>
      <c r="E24" s="124" t="s">
        <v>134</v>
      </c>
      <c r="F24" s="128"/>
      <c r="G24" s="276" t="s">
        <v>281</v>
      </c>
      <c r="H24" s="276" t="s">
        <v>619</v>
      </c>
      <c r="I24" s="276" t="s">
        <v>282</v>
      </c>
      <c r="J24" s="276" t="s">
        <v>282</v>
      </c>
      <c r="K24" s="105"/>
      <c r="L24" s="110" t="str">
        <f t="shared" si="2"/>
        <v>TCAMS000 Federn / Stabilisatoren</v>
      </c>
      <c r="M24" s="81" t="s">
        <v>420</v>
      </c>
      <c r="N24" s="81" t="s">
        <v>538</v>
      </c>
      <c r="O24" s="81" t="s">
        <v>421</v>
      </c>
      <c r="P24" s="277">
        <v>15</v>
      </c>
      <c r="R24" s="85" t="s">
        <v>709</v>
      </c>
      <c r="S24" s="85" t="s">
        <v>710</v>
      </c>
      <c r="T24" s="85" t="s">
        <v>711</v>
      </c>
      <c r="U24" t="str">
        <f t="shared" si="1"/>
        <v>AWG Arubanische Gulden</v>
      </c>
    </row>
    <row r="25" spans="1:21">
      <c r="A25" s="109">
        <v>15</v>
      </c>
      <c r="B25" s="103" t="s">
        <v>151</v>
      </c>
      <c r="C25" s="7" t="s">
        <v>150</v>
      </c>
      <c r="D25" s="105"/>
      <c r="E25" s="128"/>
      <c r="F25" s="128"/>
      <c r="G25" s="276" t="s">
        <v>281</v>
      </c>
      <c r="H25" s="276" t="s">
        <v>619</v>
      </c>
      <c r="I25" s="276" t="s">
        <v>283</v>
      </c>
      <c r="J25" s="276" t="s">
        <v>283</v>
      </c>
      <c r="K25" s="105"/>
      <c r="L25" s="110" t="str">
        <f t="shared" si="2"/>
        <v>TCAMW000 Radlager</v>
      </c>
      <c r="M25" s="81" t="s">
        <v>422</v>
      </c>
      <c r="N25" s="81" t="s">
        <v>540</v>
      </c>
      <c r="O25" s="81" t="s">
        <v>423</v>
      </c>
      <c r="P25" s="278">
        <v>16</v>
      </c>
      <c r="R25" s="85" t="s">
        <v>712</v>
      </c>
      <c r="S25" s="85" t="s">
        <v>713</v>
      </c>
      <c r="T25" s="85" t="s">
        <v>714</v>
      </c>
      <c r="U25" t="str">
        <f t="shared" si="1"/>
        <v>AZM Aserbaidschanische Manat</v>
      </c>
    </row>
    <row r="26" spans="1:21" ht="25.5">
      <c r="A26" s="127">
        <v>16</v>
      </c>
      <c r="B26" s="103" t="s">
        <v>1376</v>
      </c>
      <c r="C26" s="103" t="s">
        <v>1377</v>
      </c>
      <c r="D26" s="105"/>
      <c r="E26" s="128"/>
      <c r="F26" s="128"/>
      <c r="G26" s="276" t="s">
        <v>618</v>
      </c>
      <c r="H26" s="276" t="s">
        <v>283</v>
      </c>
      <c r="I26" s="276" t="s">
        <v>283</v>
      </c>
      <c r="J26" s="276" t="s">
        <v>283</v>
      </c>
      <c r="K26" s="105"/>
      <c r="L26" s="110" t="str">
        <f t="shared" si="2"/>
        <v>TCAP0000 Plastik, Gummi</v>
      </c>
      <c r="M26" s="81" t="s">
        <v>424</v>
      </c>
      <c r="N26" s="82" t="s">
        <v>1266</v>
      </c>
      <c r="O26" s="81" t="s">
        <v>425</v>
      </c>
      <c r="P26" s="277">
        <v>17</v>
      </c>
      <c r="Q26" s="65"/>
      <c r="R26" s="85" t="s">
        <v>715</v>
      </c>
      <c r="S26" s="85" t="s">
        <v>716</v>
      </c>
      <c r="T26" s="85" t="s">
        <v>716</v>
      </c>
      <c r="U26" t="str">
        <f t="shared" si="1"/>
        <v>BAM Bosnia and Herzegovina Convertible Mark</v>
      </c>
    </row>
    <row r="27" spans="1:21">
      <c r="A27" s="109">
        <v>17</v>
      </c>
      <c r="B27" s="7" t="s">
        <v>1237</v>
      </c>
      <c r="C27" s="103" t="s">
        <v>1238</v>
      </c>
      <c r="D27" s="105"/>
      <c r="E27" s="66"/>
      <c r="F27" s="66"/>
      <c r="G27" s="66"/>
      <c r="H27" s="66"/>
      <c r="I27" s="66"/>
      <c r="J27" s="66"/>
      <c r="K27" s="105"/>
      <c r="L27" s="110" t="str">
        <f t="shared" si="2"/>
        <v>TCAR0000 Gummi-Metall</v>
      </c>
      <c r="M27" s="81" t="s">
        <v>426</v>
      </c>
      <c r="N27" s="81" t="s">
        <v>520</v>
      </c>
      <c r="O27" s="81" t="s">
        <v>427</v>
      </c>
      <c r="P27" s="277">
        <v>18</v>
      </c>
      <c r="Q27" s="65"/>
      <c r="R27" s="85" t="s">
        <v>717</v>
      </c>
      <c r="S27" s="85" t="s">
        <v>718</v>
      </c>
      <c r="T27" s="85" t="s">
        <v>719</v>
      </c>
      <c r="U27" t="str">
        <f t="shared" si="1"/>
        <v>BBD Barbados-Dollar</v>
      </c>
    </row>
    <row r="28" spans="1:21">
      <c r="A28" s="109">
        <v>18</v>
      </c>
      <c r="B28" s="103" t="s">
        <v>182</v>
      </c>
      <c r="C28" s="103" t="s">
        <v>147</v>
      </c>
      <c r="D28" s="105"/>
      <c r="E28" s="66"/>
      <c r="F28" s="66"/>
      <c r="G28" s="66"/>
      <c r="H28" s="66"/>
      <c r="I28" s="66"/>
      <c r="J28" s="66"/>
      <c r="K28" s="105"/>
      <c r="L28" s="110" t="str">
        <f t="shared" si="2"/>
        <v>TCCCM000 Maschinen &amp; Anlagen</v>
      </c>
      <c r="M28" s="81" t="s">
        <v>428</v>
      </c>
      <c r="N28" s="82" t="s">
        <v>549</v>
      </c>
      <c r="O28" s="81" t="s">
        <v>429</v>
      </c>
      <c r="P28" s="278">
        <v>19</v>
      </c>
      <c r="Q28" s="65"/>
      <c r="R28" s="85" t="s">
        <v>720</v>
      </c>
      <c r="S28" s="85" t="s">
        <v>721</v>
      </c>
      <c r="T28" s="85" t="s">
        <v>722</v>
      </c>
      <c r="U28" t="str">
        <f t="shared" si="1"/>
        <v>BDT Bangladesch Taka</v>
      </c>
    </row>
    <row r="29" spans="1:21">
      <c r="A29" s="109">
        <v>19</v>
      </c>
      <c r="B29" s="103" t="s">
        <v>243</v>
      </c>
      <c r="C29" s="103" t="s">
        <v>227</v>
      </c>
      <c r="D29" s="105"/>
      <c r="E29" s="66"/>
      <c r="F29" s="66"/>
      <c r="G29" s="66"/>
      <c r="H29" s="66"/>
      <c r="I29" s="66"/>
      <c r="J29" s="66"/>
      <c r="K29" s="105"/>
      <c r="L29" s="110" t="str">
        <f t="shared" si="2"/>
        <v>TCCCT000 Mess- und Prüfmittel</v>
      </c>
      <c r="M29" s="81" t="s">
        <v>430</v>
      </c>
      <c r="N29" s="81" t="s">
        <v>550</v>
      </c>
      <c r="O29" s="81" t="s">
        <v>431</v>
      </c>
      <c r="P29" s="277">
        <v>20</v>
      </c>
      <c r="Q29" s="65"/>
      <c r="R29" s="85" t="s">
        <v>723</v>
      </c>
      <c r="S29" s="85" t="s">
        <v>724</v>
      </c>
      <c r="T29" s="85" t="s">
        <v>725</v>
      </c>
      <c r="U29" t="str">
        <f t="shared" si="1"/>
        <v>BEF Belgische Franken</v>
      </c>
    </row>
    <row r="30" spans="1:21">
      <c r="A30" s="109">
        <v>20</v>
      </c>
      <c r="B30" s="103" t="s">
        <v>152</v>
      </c>
      <c r="C30" s="103" t="s">
        <v>149</v>
      </c>
      <c r="D30" s="105"/>
      <c r="E30" s="66"/>
      <c r="F30" s="66"/>
      <c r="G30" s="66"/>
      <c r="H30" s="66"/>
      <c r="I30" s="66"/>
      <c r="J30" s="66"/>
      <c r="K30" s="105"/>
      <c r="L30" s="110" t="str">
        <f t="shared" si="2"/>
        <v>TCEE0000 Elektrische Systeme</v>
      </c>
      <c r="M30" s="81" t="s">
        <v>432</v>
      </c>
      <c r="N30" s="82" t="s">
        <v>521</v>
      </c>
      <c r="O30" s="81" t="s">
        <v>433</v>
      </c>
      <c r="P30" s="277">
        <v>21</v>
      </c>
      <c r="Q30" s="65"/>
      <c r="R30" s="85" t="s">
        <v>726</v>
      </c>
      <c r="S30" s="85" t="s">
        <v>727</v>
      </c>
      <c r="T30" s="85" t="s">
        <v>728</v>
      </c>
      <c r="U30" t="str">
        <f t="shared" si="1"/>
        <v>BGN Bulgarische Lew</v>
      </c>
    </row>
    <row r="31" spans="1:21">
      <c r="A31" s="109">
        <v>21</v>
      </c>
      <c r="B31" s="103" t="s">
        <v>1370</v>
      </c>
      <c r="C31" s="103" t="s">
        <v>1371</v>
      </c>
      <c r="D31" s="105"/>
      <c r="E31" s="66"/>
      <c r="F31" s="66"/>
      <c r="G31" s="66"/>
      <c r="H31" s="66"/>
      <c r="I31" s="66"/>
      <c r="J31" s="66"/>
      <c r="K31" s="105"/>
      <c r="L31" s="110" t="str">
        <f t="shared" si="2"/>
        <v>TCEEC000 Steuergeräte</v>
      </c>
      <c r="M31" s="81" t="s">
        <v>434</v>
      </c>
      <c r="N31" s="81" t="s">
        <v>541</v>
      </c>
      <c r="O31" s="81" t="s">
        <v>435</v>
      </c>
      <c r="P31" s="278">
        <v>22</v>
      </c>
      <c r="Q31" s="65"/>
      <c r="R31" s="85" t="s">
        <v>729</v>
      </c>
      <c r="S31" s="85" t="s">
        <v>730</v>
      </c>
      <c r="T31" s="85" t="s">
        <v>731</v>
      </c>
      <c r="U31" t="str">
        <f t="shared" si="1"/>
        <v>BHD Bahrein-Dinar</v>
      </c>
    </row>
    <row r="32" spans="1:21">
      <c r="A32" s="109">
        <v>22</v>
      </c>
      <c r="B32" s="103" t="s">
        <v>611</v>
      </c>
      <c r="C32" s="103" t="s">
        <v>611</v>
      </c>
      <c r="D32" s="105"/>
      <c r="E32" s="66"/>
      <c r="F32" s="66"/>
      <c r="G32" s="66"/>
      <c r="H32" s="66"/>
      <c r="I32" s="66"/>
      <c r="J32" s="66"/>
      <c r="K32" s="105"/>
      <c r="L32" s="110" t="str">
        <f t="shared" si="2"/>
        <v>TCEEM000 Elektromotoren</v>
      </c>
      <c r="M32" s="81" t="s">
        <v>436</v>
      </c>
      <c r="N32" s="81" t="s">
        <v>542</v>
      </c>
      <c r="O32" s="81" t="s">
        <v>437</v>
      </c>
      <c r="P32" s="277">
        <v>23</v>
      </c>
      <c r="Q32" s="65"/>
      <c r="R32" s="85" t="s">
        <v>732</v>
      </c>
      <c r="S32" s="85" t="s">
        <v>733</v>
      </c>
      <c r="T32" s="85" t="s">
        <v>734</v>
      </c>
      <c r="U32" t="str">
        <f t="shared" si="1"/>
        <v>BIF Burundi Frank</v>
      </c>
    </row>
    <row r="33" spans="1:21">
      <c r="A33" s="109">
        <v>23</v>
      </c>
      <c r="B33" s="103" t="s">
        <v>115</v>
      </c>
      <c r="C33" s="103" t="s">
        <v>8</v>
      </c>
      <c r="D33" s="105"/>
      <c r="E33" s="66"/>
      <c r="F33" s="66"/>
      <c r="G33" s="66"/>
      <c r="H33" s="66"/>
      <c r="I33" s="66"/>
      <c r="J33" s="66"/>
      <c r="K33" s="7"/>
      <c r="L33" s="110" t="str">
        <f t="shared" si="2"/>
        <v>TCEWA000 Trennen</v>
      </c>
      <c r="M33" s="81" t="s">
        <v>438</v>
      </c>
      <c r="N33" s="81" t="s">
        <v>551</v>
      </c>
      <c r="O33" s="81" t="s">
        <v>439</v>
      </c>
      <c r="P33" s="277">
        <v>24</v>
      </c>
      <c r="Q33" s="65"/>
      <c r="R33" s="85" t="s">
        <v>735</v>
      </c>
      <c r="S33" s="85" t="s">
        <v>736</v>
      </c>
      <c r="T33" s="85" t="s">
        <v>737</v>
      </c>
      <c r="U33" t="str">
        <f t="shared" si="1"/>
        <v>BMD Bermuda Dollar</v>
      </c>
    </row>
    <row r="34" spans="1:21" ht="25.5">
      <c r="A34" s="109">
        <v>24</v>
      </c>
      <c r="B34" s="111" t="s">
        <v>116</v>
      </c>
      <c r="C34" s="111" t="s">
        <v>9</v>
      </c>
      <c r="D34" s="105"/>
      <c r="E34" s="66"/>
      <c r="F34" s="66"/>
      <c r="G34" s="66"/>
      <c r="H34" s="66"/>
      <c r="I34" s="66"/>
      <c r="J34" s="66"/>
      <c r="K34" s="105"/>
      <c r="L34" s="110" t="str">
        <f t="shared" si="2"/>
        <v>TCEWG001 Service-Serie, Verpacken, Etikettieren, Sortieren</v>
      </c>
      <c r="M34" s="81" t="s">
        <v>440</v>
      </c>
      <c r="N34" s="82" t="s">
        <v>1267</v>
      </c>
      <c r="O34" s="81" t="s">
        <v>1268</v>
      </c>
      <c r="P34" s="278">
        <v>25</v>
      </c>
      <c r="Q34" s="65"/>
      <c r="R34" s="85" t="s">
        <v>738</v>
      </c>
      <c r="S34" s="85" t="s">
        <v>739</v>
      </c>
      <c r="T34" s="85" t="s">
        <v>739</v>
      </c>
      <c r="U34" t="str">
        <f t="shared" si="1"/>
        <v>BND Brunei Dollar</v>
      </c>
    </row>
    <row r="35" spans="1:21">
      <c r="A35" s="109">
        <v>25</v>
      </c>
      <c r="B35" s="123" t="s">
        <v>1252</v>
      </c>
      <c r="C35" s="123" t="s">
        <v>1239</v>
      </c>
      <c r="D35" s="105"/>
      <c r="E35" s="124" t="s">
        <v>1218</v>
      </c>
      <c r="F35" s="128"/>
      <c r="G35" s="128"/>
      <c r="H35" s="105"/>
      <c r="I35" s="105"/>
      <c r="J35" s="105"/>
      <c r="K35" s="105"/>
      <c r="L35" s="110" t="str">
        <f t="shared" si="2"/>
        <v>TCEWH000 Wärmebehandlung</v>
      </c>
      <c r="M35" s="81" t="s">
        <v>441</v>
      </c>
      <c r="N35" s="81" t="s">
        <v>552</v>
      </c>
      <c r="O35" s="81" t="s">
        <v>442</v>
      </c>
      <c r="P35" s="277">
        <v>26</v>
      </c>
      <c r="Q35" s="65"/>
      <c r="R35" s="85" t="s">
        <v>740</v>
      </c>
      <c r="S35" s="85" t="s">
        <v>741</v>
      </c>
      <c r="T35" s="85" t="s">
        <v>741</v>
      </c>
      <c r="U35" t="str">
        <f t="shared" si="1"/>
        <v>BOB Boliviano</v>
      </c>
    </row>
    <row r="36" spans="1:21">
      <c r="A36" s="109">
        <v>26</v>
      </c>
      <c r="B36" s="123" t="s">
        <v>1251</v>
      </c>
      <c r="C36" s="123" t="s">
        <v>183</v>
      </c>
      <c r="D36" s="105"/>
      <c r="E36" s="128" t="str">
        <f>$B$3</f>
        <v>Please select!</v>
      </c>
      <c r="F36" s="267" t="str">
        <f>B11</f>
        <v>DE</v>
      </c>
      <c r="G36" s="267" t="str">
        <f>C11</f>
        <v>EN</v>
      </c>
      <c r="H36" s="105"/>
      <c r="I36" s="105"/>
      <c r="J36" s="105"/>
      <c r="K36" s="105"/>
      <c r="L36" s="110" t="str">
        <f t="shared" si="2"/>
        <v>TCEWM000 Mechanische Bearbeitung</v>
      </c>
      <c r="M36" s="82" t="s">
        <v>443</v>
      </c>
      <c r="N36" s="81" t="s">
        <v>553</v>
      </c>
      <c r="O36" s="82" t="s">
        <v>1269</v>
      </c>
      <c r="P36" s="277">
        <v>27</v>
      </c>
      <c r="Q36" s="65"/>
      <c r="R36" s="85" t="s">
        <v>742</v>
      </c>
      <c r="S36" s="85" t="s">
        <v>743</v>
      </c>
      <c r="T36" s="85" t="s">
        <v>744</v>
      </c>
      <c r="U36" t="str">
        <f t="shared" si="1"/>
        <v>BRL Brasilianische Real</v>
      </c>
    </row>
    <row r="37" spans="1:21" ht="25.5">
      <c r="A37" s="109">
        <v>27</v>
      </c>
      <c r="B37" s="123" t="s">
        <v>1250</v>
      </c>
      <c r="C37" s="123" t="s">
        <v>184</v>
      </c>
      <c r="D37" s="105"/>
      <c r="E37" s="124" t="str">
        <f>HLOOKUP(Language,$F$36:$G$42,2)</f>
        <v>Innerhalb 180 Tage ohne Skonto</v>
      </c>
      <c r="F37" s="128" t="s">
        <v>1225</v>
      </c>
      <c r="G37" s="268" t="s">
        <v>1219</v>
      </c>
      <c r="H37" s="105"/>
      <c r="I37" s="105"/>
      <c r="J37" s="105"/>
      <c r="K37" s="6"/>
      <c r="L37" s="110" t="str">
        <f t="shared" si="2"/>
        <v>TCEWS000 Oberflächenbehandlung</v>
      </c>
      <c r="M37" s="81" t="s">
        <v>444</v>
      </c>
      <c r="N37" s="82" t="s">
        <v>555</v>
      </c>
      <c r="O37" s="81" t="s">
        <v>445</v>
      </c>
      <c r="P37" s="278">
        <v>28</v>
      </c>
      <c r="Q37" s="65"/>
      <c r="R37" s="85" t="s">
        <v>745</v>
      </c>
      <c r="S37" s="85" t="s">
        <v>746</v>
      </c>
      <c r="T37" s="85" t="s">
        <v>747</v>
      </c>
      <c r="U37" t="str">
        <f t="shared" si="1"/>
        <v>BSD Bahama Dollar</v>
      </c>
    </row>
    <row r="38" spans="1:21" ht="25.5">
      <c r="A38" s="109">
        <v>28</v>
      </c>
      <c r="B38" s="123" t="s">
        <v>1249</v>
      </c>
      <c r="C38" s="123" t="s">
        <v>185</v>
      </c>
      <c r="D38" s="105"/>
      <c r="E38" s="124" t="str">
        <f>HLOOKUP(Language,$F$36:$G$42,3)</f>
        <v>Innerhalb 120 Tage ohne Skonto</v>
      </c>
      <c r="F38" s="128" t="s">
        <v>1226</v>
      </c>
      <c r="G38" s="268" t="s">
        <v>1220</v>
      </c>
      <c r="H38" s="105"/>
      <c r="I38" s="105"/>
      <c r="J38" s="105"/>
      <c r="K38" s="6"/>
      <c r="L38" s="110" t="str">
        <f t="shared" si="2"/>
        <v>TCEWSV02 Oberflächenbearbeitung, Entlacken</v>
      </c>
      <c r="M38" s="81" t="s">
        <v>446</v>
      </c>
      <c r="N38" s="82" t="s">
        <v>568</v>
      </c>
      <c r="O38" s="81" t="s">
        <v>447</v>
      </c>
      <c r="P38" s="277">
        <v>29</v>
      </c>
      <c r="Q38" s="65"/>
      <c r="R38" s="85" t="s">
        <v>748</v>
      </c>
      <c r="S38" s="85" t="s">
        <v>749</v>
      </c>
      <c r="T38" s="85" t="s">
        <v>749</v>
      </c>
      <c r="U38" t="str">
        <f t="shared" si="1"/>
        <v>BTN Bhutan Ngultrum</v>
      </c>
    </row>
    <row r="39" spans="1:21" ht="25.5">
      <c r="A39" s="109">
        <v>29</v>
      </c>
      <c r="B39" s="123" t="s">
        <v>596</v>
      </c>
      <c r="C39" s="123" t="s">
        <v>597</v>
      </c>
      <c r="D39" s="105"/>
      <c r="E39" s="124" t="str">
        <f>HLOOKUP(Language,$F$36:$G$42,4)</f>
        <v>Innerhalb 90 Tage ohne Skonto</v>
      </c>
      <c r="F39" s="128" t="s">
        <v>1227</v>
      </c>
      <c r="G39" s="268" t="s">
        <v>1221</v>
      </c>
      <c r="H39" s="105"/>
      <c r="I39" s="105"/>
      <c r="J39" s="105"/>
      <c r="K39" s="6"/>
      <c r="L39" s="110" t="str">
        <f t="shared" si="2"/>
        <v>TCEXA000 AGR Ventile</v>
      </c>
      <c r="M39" s="81" t="s">
        <v>448</v>
      </c>
      <c r="N39" s="81" t="s">
        <v>543</v>
      </c>
      <c r="O39" s="81" t="s">
        <v>449</v>
      </c>
      <c r="P39" s="277">
        <v>30</v>
      </c>
      <c r="Q39" s="65"/>
      <c r="R39" s="85" t="s">
        <v>750</v>
      </c>
      <c r="S39" s="85" t="s">
        <v>751</v>
      </c>
      <c r="T39" s="85" t="s">
        <v>752</v>
      </c>
      <c r="U39" t="str">
        <f t="shared" si="1"/>
        <v>BWP Botswanische Pula</v>
      </c>
    </row>
    <row r="40" spans="1:21" ht="25.5">
      <c r="A40" s="109">
        <v>30</v>
      </c>
      <c r="B40" s="123" t="s">
        <v>1248</v>
      </c>
      <c r="C40" s="123" t="s">
        <v>186</v>
      </c>
      <c r="D40" s="105"/>
      <c r="E40" s="124" t="str">
        <f>HLOOKUP(Language,$F$36:$G$42,5)</f>
        <v>Innerhalb 60 Tage ohne Skonto</v>
      </c>
      <c r="F40" s="128" t="s">
        <v>1228</v>
      </c>
      <c r="G40" s="268" t="s">
        <v>1222</v>
      </c>
      <c r="H40" s="105"/>
      <c r="I40" s="105"/>
      <c r="J40" s="105"/>
      <c r="K40" s="6"/>
      <c r="L40" s="110" t="str">
        <f t="shared" si="2"/>
        <v>TCEXC000 Katalysatoren</v>
      </c>
      <c r="M40" s="81" t="s">
        <v>450</v>
      </c>
      <c r="N40" s="81" t="s">
        <v>544</v>
      </c>
      <c r="O40" s="81" t="s">
        <v>451</v>
      </c>
      <c r="P40" s="278">
        <v>31</v>
      </c>
      <c r="Q40" s="65"/>
      <c r="R40" s="85" t="s">
        <v>753</v>
      </c>
      <c r="S40" s="85" t="s">
        <v>754</v>
      </c>
      <c r="T40" s="85" t="s">
        <v>755</v>
      </c>
      <c r="U40" t="str">
        <f t="shared" si="1"/>
        <v>BYB Weissrussische Rubel</v>
      </c>
    </row>
    <row r="41" spans="1:21" ht="25.5">
      <c r="A41" s="109">
        <v>31</v>
      </c>
      <c r="B41" s="123" t="s">
        <v>356</v>
      </c>
      <c r="C41" s="123" t="s">
        <v>187</v>
      </c>
      <c r="D41" s="105"/>
      <c r="E41" s="124" t="str">
        <f>HLOOKUP(Language,$F$36:$G$42,6)</f>
        <v>Innerhalb 45 Tage ohne Skonto</v>
      </c>
      <c r="F41" s="128" t="s">
        <v>1229</v>
      </c>
      <c r="G41" s="268" t="s">
        <v>1223</v>
      </c>
      <c r="H41" s="7"/>
      <c r="I41" s="7"/>
      <c r="J41" s="105"/>
      <c r="K41" s="6"/>
      <c r="L41" s="110" t="str">
        <f t="shared" si="2"/>
        <v>TCEXD000 Kompensatoren</v>
      </c>
      <c r="M41" s="81" t="s">
        <v>452</v>
      </c>
      <c r="N41" s="81" t="s">
        <v>545</v>
      </c>
      <c r="O41" s="81" t="s">
        <v>453</v>
      </c>
      <c r="P41" s="277">
        <v>32</v>
      </c>
      <c r="Q41" s="65"/>
      <c r="R41" s="85" t="s">
        <v>756</v>
      </c>
      <c r="S41" s="85" t="s">
        <v>757</v>
      </c>
      <c r="T41" s="85" t="s">
        <v>758</v>
      </c>
      <c r="U41" t="str">
        <f t="shared" si="1"/>
        <v>BZD Belize-Dollar</v>
      </c>
    </row>
    <row r="42" spans="1:21" ht="25.5">
      <c r="A42" s="109">
        <v>32</v>
      </c>
      <c r="B42" s="123" t="s">
        <v>355</v>
      </c>
      <c r="C42" s="123" t="s">
        <v>188</v>
      </c>
      <c r="D42" s="105"/>
      <c r="E42" s="124" t="str">
        <f>HLOOKUP(Language,$F$36:$G$42,7)</f>
        <v>Innerhalb 30 Tage ohne Skonto</v>
      </c>
      <c r="F42" s="128" t="s">
        <v>1230</v>
      </c>
      <c r="G42" s="268" t="s">
        <v>1224</v>
      </c>
      <c r="H42" s="105"/>
      <c r="I42" s="105"/>
      <c r="J42" s="7"/>
      <c r="K42" s="6"/>
      <c r="L42" s="110" t="str">
        <f t="shared" si="2"/>
        <v>TCEXF000 Zubehör</v>
      </c>
      <c r="M42" s="81" t="s">
        <v>454</v>
      </c>
      <c r="N42" s="81" t="s">
        <v>546</v>
      </c>
      <c r="O42" s="81" t="s">
        <v>455</v>
      </c>
      <c r="P42" s="277">
        <v>33</v>
      </c>
      <c r="Q42" s="65"/>
      <c r="R42" s="85" t="s">
        <v>20</v>
      </c>
      <c r="S42" s="85" t="s">
        <v>759</v>
      </c>
      <c r="T42" s="85" t="s">
        <v>760</v>
      </c>
      <c r="U42" t="str">
        <f t="shared" ref="U42:U73" si="3">CONCATENATE(R42&amp;" "&amp;IF(Language=$B$11,S42,T42))</f>
        <v>CAD Kanadische Dollar</v>
      </c>
    </row>
    <row r="43" spans="1:21">
      <c r="A43" s="109">
        <v>33</v>
      </c>
      <c r="B43" s="103" t="s">
        <v>1243</v>
      </c>
      <c r="C43" s="103" t="s">
        <v>1242</v>
      </c>
      <c r="D43" s="105"/>
      <c r="E43" s="128"/>
      <c r="F43" s="269"/>
      <c r="G43" s="128"/>
      <c r="H43" s="7"/>
      <c r="I43" s="105"/>
      <c r="J43" s="6"/>
      <c r="K43" s="7"/>
      <c r="L43" s="110" t="str">
        <f t="shared" ref="L43:L51" si="4">M43&amp;" "&amp;HLOOKUP(Language,TCname,P43)</f>
        <v>TCEXS000 EES, Sonderteile</v>
      </c>
      <c r="M43" s="81" t="s">
        <v>456</v>
      </c>
      <c r="N43" s="81" t="s">
        <v>547</v>
      </c>
      <c r="O43" s="81" t="s">
        <v>457</v>
      </c>
      <c r="P43" s="278">
        <v>34</v>
      </c>
      <c r="Q43" s="65"/>
      <c r="R43" s="85" t="s">
        <v>761</v>
      </c>
      <c r="S43" s="85" t="s">
        <v>762</v>
      </c>
      <c r="T43" s="85" t="s">
        <v>763</v>
      </c>
      <c r="U43" t="str">
        <f t="shared" si="3"/>
        <v>CFP Französischer Franc (Pazifik Inseln)</v>
      </c>
    </row>
    <row r="44" spans="1:21">
      <c r="A44" s="109">
        <v>34</v>
      </c>
      <c r="B44" s="103" t="s">
        <v>664</v>
      </c>
      <c r="C44" s="66" t="s">
        <v>665</v>
      </c>
      <c r="D44" s="105"/>
      <c r="E44" s="6"/>
      <c r="F44" s="105"/>
      <c r="G44" s="112"/>
      <c r="H44" s="105"/>
      <c r="I44" s="6"/>
      <c r="J44" s="7"/>
      <c r="K44" s="6"/>
      <c r="L44" s="110" t="str">
        <f t="shared" si="4"/>
        <v>TCEXW000 Dichtungen</v>
      </c>
      <c r="M44" s="81" t="s">
        <v>458</v>
      </c>
      <c r="N44" s="81" t="s">
        <v>548</v>
      </c>
      <c r="O44" s="81" t="s">
        <v>459</v>
      </c>
      <c r="P44" s="277">
        <v>35</v>
      </c>
      <c r="Q44" s="65"/>
      <c r="R44" s="85" t="s">
        <v>764</v>
      </c>
      <c r="S44" s="85" t="s">
        <v>765</v>
      </c>
      <c r="T44" s="85" t="s">
        <v>766</v>
      </c>
      <c r="U44" t="str">
        <f t="shared" si="3"/>
        <v>CHF Schweizer Franken</v>
      </c>
    </row>
    <row r="45" spans="1:21">
      <c r="A45" s="109">
        <v>35</v>
      </c>
      <c r="B45" s="103" t="s">
        <v>244</v>
      </c>
      <c r="C45" s="103" t="s">
        <v>5</v>
      </c>
      <c r="D45" s="105"/>
      <c r="E45" s="105"/>
      <c r="F45" s="103"/>
      <c r="G45" s="7"/>
      <c r="H45" s="7"/>
      <c r="I45" s="105"/>
      <c r="J45" s="6"/>
      <c r="K45" s="105"/>
      <c r="L45" s="110" t="str">
        <f t="shared" si="4"/>
        <v>TCEXX000 Matten / Isolierungen</v>
      </c>
      <c r="M45" s="81" t="s">
        <v>460</v>
      </c>
      <c r="N45" s="82" t="s">
        <v>569</v>
      </c>
      <c r="O45" s="81" t="s">
        <v>461</v>
      </c>
      <c r="P45" s="277">
        <v>36</v>
      </c>
      <c r="Q45" s="65"/>
      <c r="R45" s="85" t="s">
        <v>767</v>
      </c>
      <c r="S45" s="85" t="s">
        <v>768</v>
      </c>
      <c r="T45" s="85" t="s">
        <v>769</v>
      </c>
      <c r="U45" t="str">
        <f t="shared" si="3"/>
        <v>CLP Chilenische Pesos</v>
      </c>
    </row>
    <row r="46" spans="1:21">
      <c r="A46" s="109">
        <v>36</v>
      </c>
      <c r="B46" s="7" t="s">
        <v>245</v>
      </c>
      <c r="C46" s="7" t="s">
        <v>24</v>
      </c>
      <c r="D46" s="105"/>
      <c r="E46" s="103"/>
      <c r="F46" s="103"/>
      <c r="G46" s="7"/>
      <c r="H46" s="103"/>
      <c r="I46" s="7"/>
      <c r="J46" s="105"/>
      <c r="K46" s="103"/>
      <c r="L46" s="110" t="str">
        <f t="shared" si="4"/>
        <v>TCIAC000 Schmiermittel</v>
      </c>
      <c r="M46" s="81" t="s">
        <v>462</v>
      </c>
      <c r="N46" s="81" t="s">
        <v>554</v>
      </c>
      <c r="O46" s="81" t="s">
        <v>463</v>
      </c>
      <c r="P46" s="278">
        <v>37</v>
      </c>
      <c r="R46" s="85" t="s">
        <v>770</v>
      </c>
      <c r="S46" s="85" t="s">
        <v>771</v>
      </c>
      <c r="T46" s="85" t="s">
        <v>772</v>
      </c>
      <c r="U46" t="str">
        <f t="shared" si="3"/>
        <v>COP Kolumbianische Peso</v>
      </c>
    </row>
    <row r="47" spans="1:21">
      <c r="A47" s="109">
        <v>37</v>
      </c>
      <c r="B47" s="7" t="s">
        <v>246</v>
      </c>
      <c r="C47" s="7" t="s">
        <v>23</v>
      </c>
      <c r="D47" s="105"/>
      <c r="E47" s="103"/>
      <c r="F47" s="105"/>
      <c r="G47" s="103"/>
      <c r="H47" s="103"/>
      <c r="I47" s="6"/>
      <c r="J47" s="103"/>
      <c r="K47" s="103"/>
      <c r="L47" s="110" t="str">
        <f t="shared" si="4"/>
        <v>TCIAC005 Kleber, Serie</v>
      </c>
      <c r="M47" s="82" t="s">
        <v>1270</v>
      </c>
      <c r="N47" s="81" t="s">
        <v>1271</v>
      </c>
      <c r="O47" s="82" t="s">
        <v>1272</v>
      </c>
      <c r="P47" s="277">
        <v>38</v>
      </c>
      <c r="R47" s="85" t="s">
        <v>773</v>
      </c>
      <c r="S47" s="85" t="s">
        <v>774</v>
      </c>
      <c r="T47" s="85" t="s">
        <v>775</v>
      </c>
      <c r="U47" t="str">
        <f t="shared" si="3"/>
        <v>CRC Costa-Rica-Colon</v>
      </c>
    </row>
    <row r="48" spans="1:21">
      <c r="A48" s="109">
        <v>38</v>
      </c>
      <c r="B48" s="111" t="s">
        <v>247</v>
      </c>
      <c r="C48" s="111" t="s">
        <v>234</v>
      </c>
      <c r="D48" s="105"/>
      <c r="E48" s="105"/>
      <c r="F48" s="105"/>
      <c r="G48" s="105"/>
      <c r="H48" s="105"/>
      <c r="I48" s="105"/>
      <c r="J48" s="103"/>
      <c r="K48" s="105"/>
      <c r="L48" s="110" t="str">
        <f t="shared" si="4"/>
        <v>TCIAS000 Oberlächenbehandlung Material</v>
      </c>
      <c r="M48" s="82" t="s">
        <v>464</v>
      </c>
      <c r="N48" s="81" t="s">
        <v>1273</v>
      </c>
      <c r="O48" s="82" t="s">
        <v>465</v>
      </c>
      <c r="P48" s="277">
        <v>39</v>
      </c>
      <c r="Q48" s="65"/>
      <c r="R48" s="85" t="s">
        <v>776</v>
      </c>
      <c r="S48" s="85" t="s">
        <v>777</v>
      </c>
      <c r="T48" s="85" t="s">
        <v>778</v>
      </c>
      <c r="U48" t="str">
        <f t="shared" si="3"/>
        <v>CUP Kubanische Peso</v>
      </c>
    </row>
    <row r="49" spans="1:21">
      <c r="A49" s="109">
        <v>39</v>
      </c>
      <c r="B49" s="7" t="s">
        <v>248</v>
      </c>
      <c r="C49" s="148" t="s">
        <v>1387</v>
      </c>
      <c r="D49" s="105"/>
      <c r="E49" s="105"/>
      <c r="F49" s="105"/>
      <c r="G49" s="105"/>
      <c r="H49" s="105"/>
      <c r="I49" s="105"/>
      <c r="J49" s="105"/>
      <c r="K49" s="105"/>
      <c r="L49" s="110" t="str">
        <f t="shared" si="4"/>
        <v>TCIAW000 Schweiß- und Lötstoffe</v>
      </c>
      <c r="M49" s="82" t="s">
        <v>466</v>
      </c>
      <c r="N49" s="82" t="s">
        <v>556</v>
      </c>
      <c r="O49" s="82" t="s">
        <v>467</v>
      </c>
      <c r="P49" s="278">
        <v>40</v>
      </c>
      <c r="R49" s="85" t="s">
        <v>779</v>
      </c>
      <c r="S49" s="85" t="s">
        <v>780</v>
      </c>
      <c r="T49" s="85" t="s">
        <v>781</v>
      </c>
      <c r="U49" t="str">
        <f t="shared" si="3"/>
        <v>CVE Kap-Verde-Escudo</v>
      </c>
    </row>
    <row r="50" spans="1:21">
      <c r="A50" s="109">
        <v>40</v>
      </c>
      <c r="B50" s="7" t="s">
        <v>1388</v>
      </c>
      <c r="C50" s="111" t="s">
        <v>1389</v>
      </c>
      <c r="D50" s="105"/>
      <c r="E50" s="105"/>
      <c r="F50" s="105"/>
      <c r="G50" s="105"/>
      <c r="H50" s="105"/>
      <c r="I50" s="105"/>
      <c r="J50" s="105"/>
      <c r="K50" s="105"/>
      <c r="L50" s="110" t="str">
        <f t="shared" si="4"/>
        <v>TCILO004 Logistikdienstleistungen</v>
      </c>
      <c r="M50" s="81" t="s">
        <v>468</v>
      </c>
      <c r="N50" s="82" t="s">
        <v>1274</v>
      </c>
      <c r="O50" s="81" t="s">
        <v>1275</v>
      </c>
      <c r="P50" s="277">
        <v>41</v>
      </c>
      <c r="R50" s="85" t="s">
        <v>782</v>
      </c>
      <c r="S50" s="85" t="s">
        <v>783</v>
      </c>
      <c r="T50" s="85" t="s">
        <v>784</v>
      </c>
      <c r="U50" t="str">
        <f t="shared" si="3"/>
        <v>CYP Zypern Pfund</v>
      </c>
    </row>
    <row r="51" spans="1:21">
      <c r="A51" s="109">
        <v>41</v>
      </c>
      <c r="B51" s="7" t="s">
        <v>1390</v>
      </c>
      <c r="C51" s="111" t="s">
        <v>22</v>
      </c>
      <c r="D51" s="105"/>
      <c r="E51" s="105"/>
      <c r="F51" s="7"/>
      <c r="G51" s="105"/>
      <c r="H51" s="105"/>
      <c r="I51" s="105"/>
      <c r="J51" s="105"/>
      <c r="K51" s="105"/>
      <c r="L51" s="110" t="str">
        <f t="shared" si="4"/>
        <v>TCILP000 Verpackungen</v>
      </c>
      <c r="M51" s="81" t="s">
        <v>469</v>
      </c>
      <c r="N51" s="81" t="s">
        <v>557</v>
      </c>
      <c r="O51" s="81" t="s">
        <v>470</v>
      </c>
      <c r="P51" s="277">
        <v>42</v>
      </c>
      <c r="R51" s="85" t="s">
        <v>785</v>
      </c>
      <c r="S51" s="85" t="s">
        <v>786</v>
      </c>
      <c r="T51" s="85" t="s">
        <v>787</v>
      </c>
      <c r="U51" t="str">
        <f t="shared" si="3"/>
        <v>CZK Tschechische Krone</v>
      </c>
    </row>
    <row r="52" spans="1:21">
      <c r="A52" s="109">
        <v>42</v>
      </c>
      <c r="B52" s="7" t="s">
        <v>229</v>
      </c>
      <c r="C52" s="7" t="s">
        <v>153</v>
      </c>
      <c r="D52" s="105"/>
      <c r="E52" s="7"/>
      <c r="F52" s="113"/>
      <c r="G52" s="7"/>
      <c r="H52" s="7"/>
      <c r="I52" s="7"/>
      <c r="J52" s="105"/>
      <c r="K52" s="7"/>
      <c r="L52" s="110" t="str">
        <f t="shared" ref="L52:L76" si="5">M52&amp;" "&amp;HLOOKUP(Language,TCname,P52)</f>
        <v>TCILT000 Transportdienstleistungen</v>
      </c>
      <c r="M52" s="81" t="s">
        <v>471</v>
      </c>
      <c r="N52" s="81" t="s">
        <v>558</v>
      </c>
      <c r="O52" s="81" t="s">
        <v>472</v>
      </c>
      <c r="P52" s="278">
        <v>43</v>
      </c>
      <c r="R52" s="85" t="s">
        <v>788</v>
      </c>
      <c r="S52" s="85" t="s">
        <v>789</v>
      </c>
      <c r="T52" s="85" t="s">
        <v>790</v>
      </c>
      <c r="U52" t="str">
        <f t="shared" si="3"/>
        <v>DJF Dschibuti Frank</v>
      </c>
    </row>
    <row r="53" spans="1:21">
      <c r="A53" s="109">
        <v>43</v>
      </c>
      <c r="B53" s="7" t="s">
        <v>249</v>
      </c>
      <c r="C53" s="7" t="s">
        <v>135</v>
      </c>
      <c r="D53" s="105"/>
      <c r="E53" s="113"/>
      <c r="F53" s="105"/>
      <c r="G53" s="7"/>
      <c r="H53" s="113"/>
      <c r="I53" s="7"/>
      <c r="J53" s="7"/>
      <c r="K53" s="7"/>
      <c r="L53" s="110" t="str">
        <f t="shared" si="5"/>
        <v>TCISC000 Labore und Testdienstleistungen</v>
      </c>
      <c r="M53" s="82" t="s">
        <v>1276</v>
      </c>
      <c r="N53" s="81" t="s">
        <v>1277</v>
      </c>
      <c r="O53" s="82" t="s">
        <v>1278</v>
      </c>
      <c r="P53" s="277">
        <v>44</v>
      </c>
      <c r="R53" s="85" t="s">
        <v>791</v>
      </c>
      <c r="S53" s="85" t="s">
        <v>792</v>
      </c>
      <c r="T53" s="85" t="s">
        <v>793</v>
      </c>
      <c r="U53" t="str">
        <f t="shared" si="3"/>
        <v>DKK Dänische Kronen</v>
      </c>
    </row>
    <row r="54" spans="1:21">
      <c r="A54" s="109">
        <v>44</v>
      </c>
      <c r="B54" s="7" t="s">
        <v>357</v>
      </c>
      <c r="C54" s="7" t="s">
        <v>136</v>
      </c>
      <c r="D54" s="105"/>
      <c r="E54" s="105"/>
      <c r="F54" s="105"/>
      <c r="G54" s="105"/>
      <c r="H54" s="105"/>
      <c r="I54" s="105"/>
      <c r="J54" s="7"/>
      <c r="K54" s="105"/>
      <c r="L54" s="110" t="str">
        <f t="shared" si="5"/>
        <v>TCISH000 Personal-Dienstleistungen</v>
      </c>
      <c r="M54" s="82" t="s">
        <v>473</v>
      </c>
      <c r="N54" s="81" t="s">
        <v>559</v>
      </c>
      <c r="O54" s="82" t="s">
        <v>474</v>
      </c>
      <c r="P54" s="277">
        <v>45</v>
      </c>
      <c r="R54" s="85" t="s">
        <v>794</v>
      </c>
      <c r="S54" s="85" t="s">
        <v>795</v>
      </c>
      <c r="T54" s="85" t="s">
        <v>796</v>
      </c>
      <c r="U54" t="str">
        <f t="shared" si="3"/>
        <v>DOP Dominikanische Peso</v>
      </c>
    </row>
    <row r="55" spans="1:21">
      <c r="A55" s="109">
        <v>45</v>
      </c>
      <c r="B55" s="111" t="s">
        <v>353</v>
      </c>
      <c r="C55" s="111" t="s">
        <v>108</v>
      </c>
      <c r="D55" s="105"/>
      <c r="E55" s="105"/>
      <c r="F55" s="105"/>
      <c r="G55" s="105"/>
      <c r="H55" s="105"/>
      <c r="I55" s="105"/>
      <c r="J55" s="105"/>
      <c r="K55" s="105"/>
      <c r="L55" s="110" t="str">
        <f t="shared" si="5"/>
        <v>TCMDI000 Presswerkzeuge, intern (Benteler)</v>
      </c>
      <c r="M55" s="81" t="s">
        <v>475</v>
      </c>
      <c r="N55" s="9" t="s">
        <v>560</v>
      </c>
      <c r="O55" s="81" t="s">
        <v>476</v>
      </c>
      <c r="P55" s="278">
        <v>46</v>
      </c>
      <c r="Q55" s="65"/>
      <c r="R55" s="85" t="s">
        <v>797</v>
      </c>
      <c r="S55" s="85" t="s">
        <v>798</v>
      </c>
      <c r="T55" s="85" t="s">
        <v>799</v>
      </c>
      <c r="U55" t="str">
        <f t="shared" si="3"/>
        <v>DZD Algerische Dinar</v>
      </c>
    </row>
    <row r="56" spans="1:21">
      <c r="A56" s="109">
        <v>46</v>
      </c>
      <c r="B56" s="111" t="s">
        <v>382</v>
      </c>
      <c r="C56" s="111" t="s">
        <v>109</v>
      </c>
      <c r="D56" s="105"/>
      <c r="E56" s="105"/>
      <c r="F56" s="105"/>
      <c r="G56" s="105"/>
      <c r="H56" s="105"/>
      <c r="I56" s="105"/>
      <c r="J56" s="105"/>
      <c r="K56" s="105"/>
      <c r="L56" s="110" t="str">
        <f t="shared" si="5"/>
        <v>TCMFF000 Verbindungselemente</v>
      </c>
      <c r="M56" s="81" t="s">
        <v>477</v>
      </c>
      <c r="N56" s="81" t="s">
        <v>524</v>
      </c>
      <c r="O56" s="81" t="s">
        <v>478</v>
      </c>
      <c r="P56" s="277">
        <v>47</v>
      </c>
      <c r="Q56" s="65"/>
      <c r="R56" s="85" t="s">
        <v>800</v>
      </c>
      <c r="S56" s="85" t="s">
        <v>801</v>
      </c>
      <c r="T56" s="85" t="s">
        <v>802</v>
      </c>
      <c r="U56" t="str">
        <f t="shared" si="3"/>
        <v>ECS Ecuadorianische Sucre</v>
      </c>
    </row>
    <row r="57" spans="1:21">
      <c r="A57" s="109">
        <v>47</v>
      </c>
      <c r="B57" s="111" t="s">
        <v>250</v>
      </c>
      <c r="C57" s="111" t="s">
        <v>235</v>
      </c>
      <c r="D57" s="105"/>
      <c r="E57" s="105"/>
      <c r="F57" s="105"/>
      <c r="G57" s="105"/>
      <c r="H57" s="105"/>
      <c r="I57" s="105"/>
      <c r="J57" s="105"/>
      <c r="K57" s="105"/>
      <c r="L57" s="110" t="str">
        <f t="shared" si="5"/>
        <v>TCMFS000 Sinterteile</v>
      </c>
      <c r="M57" s="81" t="s">
        <v>479</v>
      </c>
      <c r="N57" s="81" t="s">
        <v>561</v>
      </c>
      <c r="O57" s="81" t="s">
        <v>480</v>
      </c>
      <c r="P57" s="277">
        <v>48</v>
      </c>
      <c r="Q57" s="65"/>
      <c r="R57" s="85" t="s">
        <v>803</v>
      </c>
      <c r="S57" s="85" t="s">
        <v>804</v>
      </c>
      <c r="T57" s="85" t="s">
        <v>805</v>
      </c>
      <c r="U57" t="str">
        <f t="shared" si="3"/>
        <v>EEK Estnische Krone</v>
      </c>
    </row>
    <row r="58" spans="1:21">
      <c r="A58" s="109">
        <v>48</v>
      </c>
      <c r="B58" s="113" t="s">
        <v>1325</v>
      </c>
      <c r="C58" s="111" t="s">
        <v>137</v>
      </c>
      <c r="D58" s="105"/>
      <c r="E58" s="105"/>
      <c r="F58" s="105"/>
      <c r="G58" s="105"/>
      <c r="H58" s="105"/>
      <c r="I58" s="105"/>
      <c r="J58" s="105"/>
      <c r="K58" s="105"/>
      <c r="L58" s="110" t="str">
        <f t="shared" si="5"/>
        <v>TCMP0000 Pressteile</v>
      </c>
      <c r="M58" s="81" t="s">
        <v>481</v>
      </c>
      <c r="N58" s="81" t="s">
        <v>525</v>
      </c>
      <c r="O58" s="81" t="s">
        <v>482</v>
      </c>
      <c r="P58" s="278">
        <v>49</v>
      </c>
      <c r="Q58" s="65"/>
      <c r="R58" s="85" t="s">
        <v>806</v>
      </c>
      <c r="S58" s="85" t="s">
        <v>807</v>
      </c>
      <c r="T58" s="85" t="s">
        <v>808</v>
      </c>
      <c r="U58" t="str">
        <f t="shared" si="3"/>
        <v>EGP Ägyptisches Pfund</v>
      </c>
    </row>
    <row r="59" spans="1:21">
      <c r="A59" s="109">
        <v>49</v>
      </c>
      <c r="B59" s="113" t="s">
        <v>1324</v>
      </c>
      <c r="C59" s="111" t="s">
        <v>1326</v>
      </c>
      <c r="D59" s="105"/>
      <c r="E59" s="105"/>
      <c r="F59" s="105"/>
      <c r="G59" s="105"/>
      <c r="H59" s="105"/>
      <c r="I59" s="105"/>
      <c r="J59" s="105"/>
      <c r="K59" s="105"/>
      <c r="L59" s="110" t="str">
        <f t="shared" si="5"/>
        <v>TCMP0002 Pressteile, ZSB</v>
      </c>
      <c r="M59" s="81" t="s">
        <v>483</v>
      </c>
      <c r="N59" s="81" t="s">
        <v>570</v>
      </c>
      <c r="O59" s="81" t="s">
        <v>484</v>
      </c>
      <c r="P59" s="277">
        <v>50</v>
      </c>
      <c r="Q59" s="65"/>
      <c r="R59" s="85" t="s">
        <v>809</v>
      </c>
      <c r="S59" s="85" t="s">
        <v>810</v>
      </c>
      <c r="T59" s="85" t="s">
        <v>811</v>
      </c>
      <c r="U59" t="str">
        <f t="shared" si="3"/>
        <v>ERN Eritreische Nakfa</v>
      </c>
    </row>
    <row r="60" spans="1:21">
      <c r="A60" s="109">
        <v>50</v>
      </c>
      <c r="B60" s="113" t="s">
        <v>251</v>
      </c>
      <c r="C60" s="111" t="s">
        <v>138</v>
      </c>
      <c r="D60" s="105"/>
      <c r="E60" s="105"/>
      <c r="F60" s="105"/>
      <c r="G60" s="105"/>
      <c r="H60" s="105"/>
      <c r="I60" s="105"/>
      <c r="J60" s="105"/>
      <c r="K60" s="105"/>
      <c r="L60" s="110" t="str">
        <f t="shared" si="5"/>
        <v>TCMP0003 Feinschneidteile</v>
      </c>
      <c r="M60" s="81" t="s">
        <v>485</v>
      </c>
      <c r="N60" s="81" t="s">
        <v>571</v>
      </c>
      <c r="O60" s="81" t="s">
        <v>486</v>
      </c>
      <c r="P60" s="277">
        <v>51</v>
      </c>
      <c r="Q60" s="65"/>
      <c r="R60" s="85" t="s">
        <v>812</v>
      </c>
      <c r="S60" s="85" t="s">
        <v>813</v>
      </c>
      <c r="T60" s="85" t="s">
        <v>814</v>
      </c>
      <c r="U60" t="str">
        <f t="shared" si="3"/>
        <v>ESP Spanische Peseten</v>
      </c>
    </row>
    <row r="61" spans="1:21">
      <c r="A61" s="109">
        <v>51</v>
      </c>
      <c r="B61" s="113" t="s">
        <v>139</v>
      </c>
      <c r="C61" s="104" t="s">
        <v>139</v>
      </c>
      <c r="D61" s="105"/>
      <c r="E61" s="105"/>
      <c r="F61" s="105"/>
      <c r="G61" s="105"/>
      <c r="H61" s="105"/>
      <c r="I61" s="105"/>
      <c r="J61" s="105"/>
      <c r="K61" s="105"/>
      <c r="L61" s="110" t="str">
        <f t="shared" si="5"/>
        <v>TCMP0004 Tiefziehteile</v>
      </c>
      <c r="M61" s="81" t="s">
        <v>487</v>
      </c>
      <c r="N61" s="81" t="s">
        <v>572</v>
      </c>
      <c r="O61" s="81" t="s">
        <v>488</v>
      </c>
      <c r="P61" s="278">
        <v>52</v>
      </c>
      <c r="Q61" s="65"/>
      <c r="R61" s="85" t="s">
        <v>815</v>
      </c>
      <c r="S61" s="85" t="s">
        <v>816</v>
      </c>
      <c r="T61" s="85" t="s">
        <v>817</v>
      </c>
      <c r="U61" t="str">
        <f t="shared" si="3"/>
        <v>ETB Äthiopische Birr</v>
      </c>
    </row>
    <row r="62" spans="1:21">
      <c r="A62" s="109">
        <v>52</v>
      </c>
      <c r="B62" s="113" t="s">
        <v>252</v>
      </c>
      <c r="C62" s="104" t="s">
        <v>253</v>
      </c>
      <c r="D62" s="105"/>
      <c r="E62" s="105"/>
      <c r="F62" s="105"/>
      <c r="G62" s="105"/>
      <c r="H62" s="105"/>
      <c r="I62" s="105"/>
      <c r="J62" s="105"/>
      <c r="K62" s="105"/>
      <c r="L62" s="110" t="str">
        <f t="shared" si="5"/>
        <v>TCMP0005 Gerollte Hülsen</v>
      </c>
      <c r="M62" s="81" t="s">
        <v>489</v>
      </c>
      <c r="N62" s="82" t="s">
        <v>573</v>
      </c>
      <c r="O62" s="81" t="s">
        <v>490</v>
      </c>
      <c r="P62" s="277">
        <v>53</v>
      </c>
      <c r="Q62" s="65"/>
      <c r="R62" s="85" t="s">
        <v>818</v>
      </c>
      <c r="S62" s="85" t="s">
        <v>819</v>
      </c>
      <c r="T62" s="85" t="s">
        <v>820</v>
      </c>
      <c r="U62" t="str">
        <f t="shared" si="3"/>
        <v>FIM Finnische Mark</v>
      </c>
    </row>
    <row r="63" spans="1:21">
      <c r="A63" s="109">
        <v>53</v>
      </c>
      <c r="B63" s="113" t="s">
        <v>254</v>
      </c>
      <c r="C63" s="104" t="s">
        <v>140</v>
      </c>
      <c r="D63" s="105"/>
      <c r="E63" s="105"/>
      <c r="F63" s="105"/>
      <c r="G63" s="105"/>
      <c r="H63" s="105"/>
      <c r="I63" s="105"/>
      <c r="J63" s="105"/>
      <c r="K63" s="105"/>
      <c r="L63" s="110" t="str">
        <f t="shared" si="5"/>
        <v>TCMT0000 Rohre / Profile</v>
      </c>
      <c r="M63" s="81" t="s">
        <v>491</v>
      </c>
      <c r="N63" s="81" t="s">
        <v>526</v>
      </c>
      <c r="O63" s="81" t="s">
        <v>492</v>
      </c>
      <c r="P63" s="277">
        <v>54</v>
      </c>
      <c r="Q63" s="65"/>
      <c r="R63" s="85" t="s">
        <v>821</v>
      </c>
      <c r="S63" s="85" t="s">
        <v>822</v>
      </c>
      <c r="T63" s="85" t="s">
        <v>823</v>
      </c>
      <c r="U63" t="str">
        <f t="shared" si="3"/>
        <v>FJD Fidschi-Dollar</v>
      </c>
    </row>
    <row r="64" spans="1:21">
      <c r="A64" s="109">
        <v>54</v>
      </c>
      <c r="B64" s="113" t="s">
        <v>156</v>
      </c>
      <c r="C64" s="7" t="s">
        <v>113</v>
      </c>
      <c r="D64" s="105"/>
      <c r="E64" s="105"/>
      <c r="F64" s="105"/>
      <c r="G64" s="105"/>
      <c r="H64" s="105"/>
      <c r="I64" s="105"/>
      <c r="J64" s="105"/>
      <c r="K64" s="105"/>
      <c r="L64" s="110" t="str">
        <f t="shared" si="5"/>
        <v>TCMTT000 Luppen</v>
      </c>
      <c r="M64" s="81" t="s">
        <v>493</v>
      </c>
      <c r="N64" s="81" t="s">
        <v>562</v>
      </c>
      <c r="O64" s="81" t="s">
        <v>494</v>
      </c>
      <c r="P64" s="278">
        <v>55</v>
      </c>
      <c r="Q64" s="65"/>
      <c r="R64" s="85" t="s">
        <v>824</v>
      </c>
      <c r="S64" s="85" t="s">
        <v>825</v>
      </c>
      <c r="T64" s="85" t="s">
        <v>826</v>
      </c>
      <c r="U64" t="str">
        <f t="shared" si="3"/>
        <v>FKP Falkland Pfund</v>
      </c>
    </row>
    <row r="65" spans="1:21">
      <c r="A65" s="109">
        <v>55</v>
      </c>
      <c r="B65" s="113" t="s">
        <v>1423</v>
      </c>
      <c r="C65" s="7" t="s">
        <v>1424</v>
      </c>
      <c r="D65" s="105"/>
      <c r="E65" s="105"/>
      <c r="F65" s="105"/>
      <c r="G65" s="105"/>
      <c r="H65" s="105"/>
      <c r="I65" s="105"/>
      <c r="J65" s="105"/>
      <c r="K65" s="105"/>
      <c r="L65" s="110" t="str">
        <f t="shared" si="5"/>
        <v>TCRA0000 Aluminium</v>
      </c>
      <c r="M65" s="81" t="s">
        <v>495</v>
      </c>
      <c r="N65" s="9" t="s">
        <v>496</v>
      </c>
      <c r="O65" s="81" t="s">
        <v>496</v>
      </c>
      <c r="P65" s="277">
        <v>56</v>
      </c>
      <c r="Q65" s="65"/>
      <c r="R65" s="85" t="s">
        <v>827</v>
      </c>
      <c r="S65" s="85" t="s">
        <v>828</v>
      </c>
      <c r="T65" s="85" t="s">
        <v>829</v>
      </c>
      <c r="U65" t="str">
        <f t="shared" si="3"/>
        <v>FRF Französische Franken</v>
      </c>
    </row>
    <row r="66" spans="1:21">
      <c r="A66" s="109">
        <v>56</v>
      </c>
      <c r="B66" s="113" t="s">
        <v>255</v>
      </c>
      <c r="C66" s="7" t="s">
        <v>6</v>
      </c>
      <c r="D66" s="105"/>
      <c r="E66" s="105"/>
      <c r="F66" s="105"/>
      <c r="G66" s="105"/>
      <c r="H66" s="105"/>
      <c r="I66" s="105"/>
      <c r="J66" s="105"/>
      <c r="K66" s="105"/>
      <c r="L66" s="110" t="str">
        <f t="shared" si="5"/>
        <v>TCRB0000 Platinen Tailor</v>
      </c>
      <c r="M66" s="81" t="s">
        <v>497</v>
      </c>
      <c r="N66" s="81" t="s">
        <v>527</v>
      </c>
      <c r="O66" s="81" t="s">
        <v>498</v>
      </c>
      <c r="P66" s="277">
        <v>57</v>
      </c>
      <c r="Q66" s="65"/>
      <c r="R66" s="85" t="s">
        <v>830</v>
      </c>
      <c r="S66" s="85" t="s">
        <v>831</v>
      </c>
      <c r="T66" s="85" t="s">
        <v>832</v>
      </c>
      <c r="U66" t="str">
        <f t="shared" si="3"/>
        <v>GBP Britische Pfund</v>
      </c>
    </row>
    <row r="67" spans="1:21">
      <c r="A67" s="109">
        <v>57</v>
      </c>
      <c r="B67" s="113" t="s">
        <v>256</v>
      </c>
      <c r="C67" s="66" t="s">
        <v>155</v>
      </c>
      <c r="D67" s="105"/>
      <c r="E67" s="105"/>
      <c r="F67" s="105"/>
      <c r="G67" s="105"/>
      <c r="H67" s="105"/>
      <c r="I67" s="105"/>
      <c r="J67" s="105"/>
      <c r="K67" s="105"/>
      <c r="L67" s="110" t="str">
        <f t="shared" si="5"/>
        <v>TCRGW000 Autoglas</v>
      </c>
      <c r="M67" s="81" t="s">
        <v>499</v>
      </c>
      <c r="N67" s="81" t="s">
        <v>563</v>
      </c>
      <c r="O67" s="81" t="s">
        <v>500</v>
      </c>
      <c r="P67" s="278">
        <v>58</v>
      </c>
      <c r="Q67" s="65"/>
      <c r="R67" s="85" t="s">
        <v>833</v>
      </c>
      <c r="S67" s="85" t="s">
        <v>834</v>
      </c>
      <c r="T67" s="85" t="s">
        <v>835</v>
      </c>
      <c r="U67" t="str">
        <f t="shared" si="3"/>
        <v>GEL Georgisches Lari</v>
      </c>
    </row>
    <row r="68" spans="1:21">
      <c r="A68" s="109">
        <v>58</v>
      </c>
      <c r="B68" s="113" t="s">
        <v>257</v>
      </c>
      <c r="C68" s="7" t="s">
        <v>170</v>
      </c>
      <c r="D68" s="105"/>
      <c r="E68" s="105"/>
      <c r="F68" s="105"/>
      <c r="G68" s="105"/>
      <c r="H68" s="105"/>
      <c r="I68" s="105"/>
      <c r="J68" s="105"/>
      <c r="K68" s="105"/>
      <c r="L68" s="110" t="str">
        <f t="shared" si="5"/>
        <v>TCRM0000 Magnesium</v>
      </c>
      <c r="M68" s="81" t="s">
        <v>501</v>
      </c>
      <c r="N68" s="81" t="s">
        <v>502</v>
      </c>
      <c r="O68" s="81" t="s">
        <v>502</v>
      </c>
      <c r="P68" s="277">
        <v>59</v>
      </c>
      <c r="R68" s="85" t="s">
        <v>836</v>
      </c>
      <c r="S68" s="85" t="s">
        <v>837</v>
      </c>
      <c r="T68" s="85" t="s">
        <v>838</v>
      </c>
      <c r="U68" t="str">
        <f t="shared" si="3"/>
        <v>GHC Ghanesische Cedi</v>
      </c>
    </row>
    <row r="69" spans="1:21">
      <c r="A69" s="109">
        <v>59</v>
      </c>
      <c r="B69" s="113" t="s">
        <v>258</v>
      </c>
      <c r="C69" s="7" t="s">
        <v>7</v>
      </c>
      <c r="D69" s="105"/>
      <c r="E69" s="105"/>
      <c r="F69" s="105"/>
      <c r="G69" s="105"/>
      <c r="H69" s="105"/>
      <c r="I69" s="105"/>
      <c r="J69" s="105"/>
      <c r="K69" s="105"/>
      <c r="L69" s="110" t="str">
        <f t="shared" si="5"/>
        <v>TCRSF000 Stahl</v>
      </c>
      <c r="M69" s="81" t="s">
        <v>503</v>
      </c>
      <c r="N69" s="81" t="s">
        <v>528</v>
      </c>
      <c r="O69" s="81" t="s">
        <v>504</v>
      </c>
      <c r="P69" s="277">
        <v>60</v>
      </c>
      <c r="Q69" s="65"/>
      <c r="R69" s="85" t="s">
        <v>839</v>
      </c>
      <c r="S69" s="85" t="s">
        <v>840</v>
      </c>
      <c r="T69" s="85" t="s">
        <v>841</v>
      </c>
      <c r="U69" t="str">
        <f t="shared" si="3"/>
        <v>GIP Gibralter Pfund</v>
      </c>
    </row>
    <row r="70" spans="1:21">
      <c r="A70" s="109">
        <v>60</v>
      </c>
      <c r="B70" s="113" t="s">
        <v>259</v>
      </c>
      <c r="C70" s="7" t="s">
        <v>1253</v>
      </c>
      <c r="D70" s="105"/>
      <c r="E70" s="105"/>
      <c r="F70" s="105"/>
      <c r="G70" s="105"/>
      <c r="H70" s="105"/>
      <c r="I70" s="105"/>
      <c r="J70" s="105"/>
      <c r="K70" s="105"/>
      <c r="L70" s="110" t="str">
        <f t="shared" si="5"/>
        <v>TCRSLC00 Knüppel / Brammen</v>
      </c>
      <c r="M70" s="81" t="s">
        <v>505</v>
      </c>
      <c r="N70" s="82" t="s">
        <v>574</v>
      </c>
      <c r="O70" s="81" t="s">
        <v>506</v>
      </c>
      <c r="P70" s="278">
        <v>61</v>
      </c>
      <c r="Q70" s="65"/>
      <c r="R70" s="85" t="s">
        <v>842</v>
      </c>
      <c r="S70" s="85" t="s">
        <v>843</v>
      </c>
      <c r="T70" s="85" t="s">
        <v>844</v>
      </c>
      <c r="U70" t="str">
        <f t="shared" si="3"/>
        <v>GMD Gambanesische Dalasi</v>
      </c>
    </row>
    <row r="71" spans="1:21">
      <c r="A71" s="109">
        <v>61</v>
      </c>
      <c r="B71" s="113" t="s">
        <v>1256</v>
      </c>
      <c r="C71" s="7" t="s">
        <v>1257</v>
      </c>
      <c r="D71" s="105"/>
      <c r="E71" s="105"/>
      <c r="F71" s="105"/>
      <c r="G71" s="105"/>
      <c r="H71" s="105"/>
      <c r="I71" s="105"/>
      <c r="J71" s="105"/>
      <c r="K71" s="105"/>
      <c r="L71" s="110" t="str">
        <f t="shared" si="5"/>
        <v>TCSAC000 Kohle</v>
      </c>
      <c r="M71" s="82" t="s">
        <v>507</v>
      </c>
      <c r="N71" s="81" t="s">
        <v>564</v>
      </c>
      <c r="O71" s="82" t="s">
        <v>508</v>
      </c>
      <c r="P71" s="277">
        <v>62</v>
      </c>
      <c r="Q71" s="65"/>
      <c r="R71" s="85" t="s">
        <v>845</v>
      </c>
      <c r="S71" s="85" t="s">
        <v>846</v>
      </c>
      <c r="T71" s="85" t="s">
        <v>847</v>
      </c>
      <c r="U71" t="str">
        <f t="shared" si="3"/>
        <v>GNF Guinea Franc</v>
      </c>
    </row>
    <row r="72" spans="1:21">
      <c r="A72" s="109">
        <v>62</v>
      </c>
      <c r="B72" s="113" t="s">
        <v>1254</v>
      </c>
      <c r="C72" s="7" t="s">
        <v>1255</v>
      </c>
      <c r="D72" s="105"/>
      <c r="E72" s="105"/>
      <c r="F72" s="105"/>
      <c r="G72" s="105"/>
      <c r="H72" s="105"/>
      <c r="I72" s="105"/>
      <c r="J72" s="105"/>
      <c r="K72" s="105"/>
      <c r="L72" s="110" t="str">
        <f t="shared" si="5"/>
        <v>TCSAX000 Kalk</v>
      </c>
      <c r="M72" s="81" t="s">
        <v>509</v>
      </c>
      <c r="N72" s="81" t="s">
        <v>565</v>
      </c>
      <c r="O72" s="81" t="s">
        <v>510</v>
      </c>
      <c r="P72" s="277">
        <v>63</v>
      </c>
      <c r="Q72" s="65"/>
      <c r="R72" s="85" t="s">
        <v>848</v>
      </c>
      <c r="S72" s="85" t="s">
        <v>849</v>
      </c>
      <c r="T72" s="85" t="s">
        <v>850</v>
      </c>
      <c r="U72" t="str">
        <f t="shared" si="3"/>
        <v>GRD Griechische Drachme</v>
      </c>
    </row>
    <row r="73" spans="1:21" ht="38.25">
      <c r="A73" s="109">
        <v>63</v>
      </c>
      <c r="B73" s="113" t="s">
        <v>260</v>
      </c>
      <c r="C73" s="7" t="s">
        <v>231</v>
      </c>
      <c r="D73" s="105"/>
      <c r="E73" s="105"/>
      <c r="F73" s="105"/>
      <c r="G73" s="105"/>
      <c r="H73" s="105"/>
      <c r="I73" s="105"/>
      <c r="J73" s="105"/>
      <c r="K73" s="105"/>
      <c r="L73" s="110" t="str">
        <f t="shared" si="5"/>
        <v>TCSC0000 Primär Material</v>
      </c>
      <c r="M73" s="82" t="s">
        <v>511</v>
      </c>
      <c r="N73" s="9" t="s">
        <v>575</v>
      </c>
      <c r="O73" s="82" t="s">
        <v>512</v>
      </c>
      <c r="P73" s="278">
        <v>64</v>
      </c>
      <c r="Q73" s="65"/>
      <c r="R73" s="85" t="s">
        <v>851</v>
      </c>
      <c r="S73" s="85" t="s">
        <v>852</v>
      </c>
      <c r="T73" s="85" t="s">
        <v>853</v>
      </c>
      <c r="U73" t="str">
        <f t="shared" si="3"/>
        <v>GTQ Guatemalische Quetzal</v>
      </c>
    </row>
    <row r="74" spans="1:21">
      <c r="A74" s="109">
        <v>64</v>
      </c>
      <c r="B74" s="128" t="s">
        <v>288</v>
      </c>
      <c r="C74" s="128" t="s">
        <v>154</v>
      </c>
      <c r="D74" s="105"/>
      <c r="E74" s="105"/>
      <c r="F74" s="105"/>
      <c r="G74" s="105"/>
      <c r="H74" s="105"/>
      <c r="I74" s="105"/>
      <c r="J74" s="105"/>
      <c r="K74" s="105"/>
      <c r="L74" s="110" t="str">
        <f t="shared" si="5"/>
        <v>TCSG0000 Technische Gase</v>
      </c>
      <c r="M74" s="82" t="s">
        <v>513</v>
      </c>
      <c r="N74" s="9" t="s">
        <v>522</v>
      </c>
      <c r="O74" s="82" t="s">
        <v>514</v>
      </c>
      <c r="P74" s="277">
        <v>65</v>
      </c>
      <c r="Q74" s="65"/>
      <c r="R74" s="85" t="s">
        <v>854</v>
      </c>
      <c r="S74" s="85" t="s">
        <v>855</v>
      </c>
      <c r="T74" s="85" t="s">
        <v>856</v>
      </c>
      <c r="U74" t="str">
        <f t="shared" ref="U74:U105" si="6">CONCATENATE(R74&amp;" "&amp;IF(Language=$B$11,S74,T74))</f>
        <v>GWP Guinea-Peso</v>
      </c>
    </row>
    <row r="75" spans="1:21">
      <c r="A75" s="109">
        <v>65</v>
      </c>
      <c r="B75" s="128" t="s">
        <v>1241</v>
      </c>
      <c r="C75" s="128" t="s">
        <v>1240</v>
      </c>
      <c r="D75" s="105"/>
      <c r="E75" s="105"/>
      <c r="F75" s="105"/>
      <c r="G75" s="105"/>
      <c r="H75" s="105"/>
      <c r="I75" s="105"/>
      <c r="J75" s="105"/>
      <c r="K75" s="105"/>
      <c r="L75" s="110" t="str">
        <f t="shared" si="5"/>
        <v>TCSSA000 Schrotteinkauf</v>
      </c>
      <c r="M75" s="82" t="s">
        <v>515</v>
      </c>
      <c r="N75" s="81" t="s">
        <v>566</v>
      </c>
      <c r="O75" s="82" t="s">
        <v>516</v>
      </c>
      <c r="P75" s="277">
        <v>66</v>
      </c>
      <c r="Q75" s="65"/>
      <c r="R75" s="85" t="s">
        <v>857</v>
      </c>
      <c r="S75" s="85" t="s">
        <v>858</v>
      </c>
      <c r="T75" s="85" t="s">
        <v>859</v>
      </c>
      <c r="U75" t="str">
        <f t="shared" si="6"/>
        <v>GYD Guyana-Dollar</v>
      </c>
    </row>
    <row r="76" spans="1:21">
      <c r="A76" s="109">
        <v>66</v>
      </c>
      <c r="B76" s="128" t="s">
        <v>261</v>
      </c>
      <c r="C76" s="128" t="s">
        <v>171</v>
      </c>
      <c r="D76" s="105"/>
      <c r="E76" s="105"/>
      <c r="F76" s="105"/>
      <c r="G76" s="105"/>
      <c r="H76" s="105"/>
      <c r="I76" s="105"/>
      <c r="J76" s="105"/>
      <c r="K76" s="105"/>
      <c r="L76" s="110" t="str">
        <f t="shared" si="5"/>
        <v>TCT00000 Werkzeuge</v>
      </c>
      <c r="M76" s="81" t="s">
        <v>517</v>
      </c>
      <c r="N76" s="82" t="s">
        <v>523</v>
      </c>
      <c r="O76" s="81" t="s">
        <v>518</v>
      </c>
      <c r="P76" s="277">
        <v>67</v>
      </c>
      <c r="Q76" s="65"/>
      <c r="R76" s="85" t="s">
        <v>860</v>
      </c>
      <c r="S76" s="85" t="s">
        <v>861</v>
      </c>
      <c r="T76" s="85" t="s">
        <v>861</v>
      </c>
      <c r="U76" t="str">
        <f t="shared" si="6"/>
        <v>HKD Hong Kong Dollar</v>
      </c>
    </row>
    <row r="77" spans="1:21">
      <c r="A77" s="109">
        <v>67</v>
      </c>
      <c r="B77" s="128" t="s">
        <v>262</v>
      </c>
      <c r="C77" s="128" t="s">
        <v>10</v>
      </c>
      <c r="D77" s="105"/>
      <c r="E77" s="105"/>
      <c r="F77" s="105"/>
      <c r="G77" s="105"/>
      <c r="H77" s="105"/>
      <c r="I77" s="105"/>
      <c r="J77" s="105"/>
      <c r="K77" s="105"/>
      <c r="L77" s="105"/>
      <c r="M77" s="1"/>
      <c r="N77" s="1"/>
      <c r="O77" s="1"/>
      <c r="Q77" s="65"/>
      <c r="R77" s="85" t="s">
        <v>862</v>
      </c>
      <c r="S77" s="85" t="s">
        <v>863</v>
      </c>
      <c r="T77" s="85" t="s">
        <v>864</v>
      </c>
      <c r="U77" t="str">
        <f t="shared" si="6"/>
        <v>HNL Honduranische Lempira</v>
      </c>
    </row>
    <row r="78" spans="1:21">
      <c r="A78" s="109">
        <v>68</v>
      </c>
      <c r="B78" s="128" t="s">
        <v>158</v>
      </c>
      <c r="C78" s="128" t="s">
        <v>158</v>
      </c>
      <c r="D78" s="105"/>
      <c r="E78" s="105"/>
      <c r="F78" s="7"/>
      <c r="G78" s="105"/>
      <c r="H78" s="105"/>
      <c r="I78" s="105"/>
      <c r="J78" s="105"/>
      <c r="K78" s="105"/>
      <c r="L78" s="105"/>
      <c r="M78" s="1"/>
      <c r="N78" s="1"/>
      <c r="O78" s="1"/>
      <c r="Q78" s="65"/>
      <c r="R78" s="85" t="s">
        <v>865</v>
      </c>
      <c r="S78" s="85" t="s">
        <v>866</v>
      </c>
      <c r="T78" s="85" t="s">
        <v>867</v>
      </c>
      <c r="U78" t="str">
        <f t="shared" si="6"/>
        <v>HRK Kroatische Kuna</v>
      </c>
    </row>
    <row r="79" spans="1:21">
      <c r="A79" s="109">
        <v>69</v>
      </c>
      <c r="B79" s="128" t="s">
        <v>290</v>
      </c>
      <c r="C79" s="128" t="s">
        <v>157</v>
      </c>
      <c r="D79" s="105"/>
      <c r="E79" s="7"/>
      <c r="F79" s="113"/>
      <c r="G79" s="7"/>
      <c r="H79" s="7"/>
      <c r="I79" s="105"/>
      <c r="J79" s="105"/>
      <c r="K79" s="7"/>
      <c r="L79" s="114"/>
      <c r="M79" s="3"/>
      <c r="N79" s="1"/>
      <c r="O79" s="1"/>
      <c r="Q79" s="65"/>
      <c r="R79" s="85" t="s">
        <v>868</v>
      </c>
      <c r="S79" s="85" t="s">
        <v>869</v>
      </c>
      <c r="T79" s="85" t="s">
        <v>870</v>
      </c>
      <c r="U79" t="str">
        <f t="shared" si="6"/>
        <v>HTG Haitianische Gourde</v>
      </c>
    </row>
    <row r="80" spans="1:21">
      <c r="A80" s="109">
        <v>70</v>
      </c>
      <c r="B80" s="128" t="s">
        <v>1281</v>
      </c>
      <c r="C80" s="128" t="s">
        <v>1282</v>
      </c>
      <c r="D80" s="105"/>
      <c r="E80" s="113"/>
      <c r="F80" s="113"/>
      <c r="G80" s="115"/>
      <c r="H80" s="115"/>
      <c r="I80" s="105"/>
      <c r="J80" s="7"/>
      <c r="K80" s="7"/>
      <c r="L80" s="124"/>
      <c r="M80" s="191"/>
      <c r="N80" s="191"/>
      <c r="O80" s="191"/>
      <c r="P80" s="193"/>
      <c r="Q80" s="65"/>
      <c r="R80" s="85" t="s">
        <v>871</v>
      </c>
      <c r="S80" s="85" t="s">
        <v>872</v>
      </c>
      <c r="T80" s="85" t="s">
        <v>873</v>
      </c>
      <c r="U80" t="str">
        <f t="shared" si="6"/>
        <v>HUF Ungarischer Forint</v>
      </c>
    </row>
    <row r="81" spans="1:21">
      <c r="A81" s="109">
        <v>71</v>
      </c>
      <c r="B81" s="128" t="s">
        <v>263</v>
      </c>
      <c r="C81" s="128" t="s">
        <v>11</v>
      </c>
      <c r="D81" s="105"/>
      <c r="E81" s="113"/>
      <c r="F81" s="7"/>
      <c r="G81" s="115"/>
      <c r="H81" s="113"/>
      <c r="I81" s="105"/>
      <c r="J81" s="7"/>
      <c r="K81" s="7"/>
      <c r="L81" s="124"/>
      <c r="M81" s="192"/>
      <c r="N81" s="191"/>
      <c r="O81" s="192"/>
      <c r="P81" s="190"/>
      <c r="R81" s="85" t="s">
        <v>874</v>
      </c>
      <c r="S81" s="85" t="s">
        <v>875</v>
      </c>
      <c r="T81" s="85" t="s">
        <v>876</v>
      </c>
      <c r="U81" t="str">
        <f t="shared" si="6"/>
        <v>IDR Indonesische Rupiah</v>
      </c>
    </row>
    <row r="82" spans="1:21">
      <c r="A82" s="109">
        <v>72</v>
      </c>
      <c r="B82" s="128" t="s">
        <v>289</v>
      </c>
      <c r="C82" s="128" t="s">
        <v>13</v>
      </c>
      <c r="D82" s="105"/>
      <c r="E82" s="7"/>
      <c r="F82" s="7"/>
      <c r="G82" s="7"/>
      <c r="H82" s="7"/>
      <c r="I82" s="105"/>
      <c r="J82" s="7"/>
      <c r="K82" s="7"/>
      <c r="L82" s="124"/>
      <c r="M82" s="192"/>
      <c r="N82" s="191"/>
      <c r="O82" s="192"/>
      <c r="P82" s="190"/>
      <c r="Q82" s="65"/>
      <c r="R82" s="85" t="s">
        <v>877</v>
      </c>
      <c r="S82" s="85" t="s">
        <v>878</v>
      </c>
      <c r="T82" s="85" t="s">
        <v>879</v>
      </c>
      <c r="U82" t="str">
        <f t="shared" si="6"/>
        <v>IEP Irisches Pfund</v>
      </c>
    </row>
    <row r="83" spans="1:21">
      <c r="A83" s="109">
        <v>73</v>
      </c>
      <c r="B83" s="128" t="s">
        <v>354</v>
      </c>
      <c r="C83" s="128" t="s">
        <v>14</v>
      </c>
      <c r="D83" s="105"/>
      <c r="E83" s="7"/>
      <c r="F83" s="105"/>
      <c r="G83" s="7"/>
      <c r="H83" s="7"/>
      <c r="I83" s="105"/>
      <c r="J83" s="7"/>
      <c r="K83" s="105"/>
      <c r="L83" s="114"/>
      <c r="M83" s="8"/>
      <c r="N83" s="1"/>
      <c r="O83" s="1"/>
      <c r="R83" s="85" t="s">
        <v>880</v>
      </c>
      <c r="S83" s="85" t="s">
        <v>881</v>
      </c>
      <c r="T83" s="85" t="s">
        <v>882</v>
      </c>
      <c r="U83" t="str">
        <f t="shared" si="6"/>
        <v>ILS Israelische Schekel</v>
      </c>
    </row>
    <row r="84" spans="1:21">
      <c r="A84" s="109">
        <v>74</v>
      </c>
      <c r="B84" s="128" t="s">
        <v>1332</v>
      </c>
      <c r="C84" s="128" t="s">
        <v>12</v>
      </c>
      <c r="D84" s="105"/>
      <c r="E84" s="105"/>
      <c r="F84" s="105"/>
      <c r="G84" s="105"/>
      <c r="H84" s="105"/>
      <c r="I84" s="105"/>
      <c r="J84" s="105"/>
      <c r="K84" s="105"/>
      <c r="L84" s="105"/>
      <c r="M84" s="1"/>
      <c r="N84" s="1"/>
      <c r="O84" s="1"/>
      <c r="R84" s="85" t="s">
        <v>883</v>
      </c>
      <c r="S84" s="85" t="s">
        <v>884</v>
      </c>
      <c r="T84" s="85" t="s">
        <v>884</v>
      </c>
      <c r="U84" t="str">
        <f t="shared" si="6"/>
        <v>INR Indian Rupee</v>
      </c>
    </row>
    <row r="85" spans="1:21">
      <c r="A85" s="109">
        <v>75</v>
      </c>
      <c r="B85" s="128" t="s">
        <v>264</v>
      </c>
      <c r="C85" s="128" t="s">
        <v>264</v>
      </c>
      <c r="D85" s="105"/>
      <c r="E85" s="105"/>
      <c r="F85" s="105"/>
      <c r="G85" s="105"/>
      <c r="H85" s="105"/>
      <c r="I85" s="105"/>
      <c r="J85" s="105"/>
      <c r="K85" s="105"/>
      <c r="L85" s="105"/>
      <c r="M85" s="1"/>
      <c r="N85" s="1"/>
      <c r="O85" s="1"/>
      <c r="R85" s="85" t="s">
        <v>885</v>
      </c>
      <c r="S85" s="85" t="s">
        <v>886</v>
      </c>
      <c r="T85" s="85" t="s">
        <v>887</v>
      </c>
      <c r="U85" t="str">
        <f t="shared" si="6"/>
        <v>IQD Irakische-Dinar</v>
      </c>
    </row>
    <row r="86" spans="1:21">
      <c r="A86" s="109">
        <v>76</v>
      </c>
      <c r="B86" s="113" t="s">
        <v>265</v>
      </c>
      <c r="C86" s="105" t="s">
        <v>159</v>
      </c>
      <c r="D86" s="105"/>
      <c r="E86" s="105"/>
      <c r="F86" s="7"/>
      <c r="G86" s="105"/>
      <c r="H86" s="105"/>
      <c r="I86" s="105"/>
      <c r="J86" s="105"/>
      <c r="K86" s="105"/>
      <c r="L86" s="105"/>
      <c r="M86" s="1"/>
      <c r="N86" s="1"/>
      <c r="O86" s="1"/>
      <c r="Q86" s="65"/>
      <c r="R86" s="85" t="s">
        <v>888</v>
      </c>
      <c r="S86" s="85" t="s">
        <v>889</v>
      </c>
      <c r="T86" s="85" t="s">
        <v>890</v>
      </c>
      <c r="U86" t="str">
        <f t="shared" si="6"/>
        <v>IRR Iranische Rial</v>
      </c>
    </row>
    <row r="87" spans="1:21">
      <c r="A87" s="109">
        <v>77</v>
      </c>
      <c r="B87" s="7" t="s">
        <v>160</v>
      </c>
      <c r="C87" s="7" t="s">
        <v>160</v>
      </c>
      <c r="D87" s="105"/>
      <c r="E87" s="7"/>
      <c r="F87" s="104"/>
      <c r="G87" s="115"/>
      <c r="H87" s="115"/>
      <c r="I87" s="105"/>
      <c r="J87" s="105"/>
      <c r="K87" s="7"/>
      <c r="L87" s="115"/>
      <c r="M87" s="5"/>
      <c r="N87" s="1"/>
      <c r="O87" s="1"/>
      <c r="R87" s="85" t="s">
        <v>891</v>
      </c>
      <c r="S87" s="85" t="s">
        <v>892</v>
      </c>
      <c r="T87" s="85" t="s">
        <v>893</v>
      </c>
      <c r="U87" t="str">
        <f t="shared" si="6"/>
        <v>ISK Isländische Krone</v>
      </c>
    </row>
    <row r="88" spans="1:21">
      <c r="A88" s="109">
        <v>78</v>
      </c>
      <c r="B88" s="104" t="s">
        <v>1421</v>
      </c>
      <c r="C88" s="104" t="s">
        <v>1422</v>
      </c>
      <c r="D88" s="105"/>
      <c r="E88" s="104"/>
      <c r="F88" s="113"/>
      <c r="G88" s="104"/>
      <c r="H88" s="115"/>
      <c r="I88" s="105"/>
      <c r="J88" s="7"/>
      <c r="K88" s="104"/>
      <c r="L88" s="104"/>
      <c r="M88" s="5"/>
      <c r="N88" s="1"/>
      <c r="O88" s="1"/>
      <c r="R88" s="85" t="s">
        <v>894</v>
      </c>
      <c r="S88" s="85" t="s">
        <v>895</v>
      </c>
      <c r="T88" s="85" t="s">
        <v>896</v>
      </c>
      <c r="U88" t="str">
        <f t="shared" si="6"/>
        <v>ITL Italienische Lire</v>
      </c>
    </row>
    <row r="89" spans="1:21">
      <c r="A89" s="109">
        <v>79</v>
      </c>
      <c r="B89" s="113" t="s">
        <v>1294</v>
      </c>
      <c r="C89" s="7" t="s">
        <v>1293</v>
      </c>
      <c r="D89" s="105"/>
      <c r="E89" s="113"/>
      <c r="F89" s="113"/>
      <c r="G89" s="105"/>
      <c r="H89" s="105"/>
      <c r="I89" s="105"/>
      <c r="J89" s="104"/>
      <c r="K89" s="7"/>
      <c r="L89" s="105"/>
      <c r="M89" s="1"/>
      <c r="N89" s="1"/>
      <c r="O89" s="1"/>
      <c r="R89" s="85" t="s">
        <v>897</v>
      </c>
      <c r="S89" s="85" t="s">
        <v>898</v>
      </c>
      <c r="T89" s="85" t="s">
        <v>899</v>
      </c>
      <c r="U89" t="str">
        <f t="shared" si="6"/>
        <v>JMD Jamaika-Dollar</v>
      </c>
    </row>
    <row r="90" spans="1:21">
      <c r="A90" s="109">
        <v>80</v>
      </c>
      <c r="B90" s="113" t="s">
        <v>1333</v>
      </c>
      <c r="C90" s="7" t="s">
        <v>1334</v>
      </c>
      <c r="D90" s="105"/>
      <c r="E90" s="113"/>
      <c r="F90" s="113"/>
      <c r="G90" s="105"/>
      <c r="H90" s="105"/>
      <c r="I90" s="105"/>
      <c r="J90" s="7"/>
      <c r="K90" s="105"/>
      <c r="L90" s="105"/>
      <c r="M90" s="1"/>
      <c r="N90" s="1"/>
      <c r="O90" s="1"/>
      <c r="Q90" s="65"/>
      <c r="R90" s="85" t="s">
        <v>900</v>
      </c>
      <c r="S90" s="85" t="s">
        <v>901</v>
      </c>
      <c r="T90" s="85" t="s">
        <v>902</v>
      </c>
      <c r="U90" t="str">
        <f t="shared" si="6"/>
        <v>JOD Jordan-Dinar</v>
      </c>
    </row>
    <row r="91" spans="1:21">
      <c r="A91" s="109">
        <v>81</v>
      </c>
      <c r="B91" s="113" t="s">
        <v>266</v>
      </c>
      <c r="C91" s="105" t="s">
        <v>112</v>
      </c>
      <c r="D91" s="105"/>
      <c r="E91" s="113"/>
      <c r="F91" s="105"/>
      <c r="G91" s="7"/>
      <c r="H91" s="113"/>
      <c r="I91" s="105"/>
      <c r="J91" s="105"/>
      <c r="K91" s="105"/>
      <c r="L91" s="114"/>
      <c r="M91" s="1"/>
      <c r="N91" s="1"/>
      <c r="O91" s="1"/>
      <c r="Q91" s="65"/>
      <c r="R91" s="85" t="s">
        <v>903</v>
      </c>
      <c r="S91" s="85" t="s">
        <v>904</v>
      </c>
      <c r="T91" s="85" t="s">
        <v>905</v>
      </c>
      <c r="U91" t="str">
        <f t="shared" si="6"/>
        <v>JPY Japanische Yen</v>
      </c>
    </row>
    <row r="92" spans="1:21">
      <c r="A92" s="109">
        <v>82</v>
      </c>
      <c r="B92" s="104" t="s">
        <v>164</v>
      </c>
      <c r="C92" s="104" t="s">
        <v>164</v>
      </c>
      <c r="D92" s="104"/>
      <c r="E92" s="105"/>
      <c r="F92" s="105"/>
      <c r="G92" s="105"/>
      <c r="H92" s="105"/>
      <c r="I92" s="105"/>
      <c r="J92" s="105"/>
      <c r="K92" s="105"/>
      <c r="L92" s="105"/>
      <c r="M92" s="1"/>
      <c r="Q92" s="65"/>
      <c r="R92" s="85" t="s">
        <v>906</v>
      </c>
      <c r="S92" s="85" t="s">
        <v>907</v>
      </c>
      <c r="T92" s="85" t="s">
        <v>908</v>
      </c>
      <c r="U92" t="str">
        <f t="shared" si="6"/>
        <v>KES Kenianische Schilling</v>
      </c>
    </row>
    <row r="93" spans="1:21">
      <c r="A93" s="109">
        <v>83</v>
      </c>
      <c r="B93" s="104" t="s">
        <v>163</v>
      </c>
      <c r="C93" s="104" t="s">
        <v>163</v>
      </c>
      <c r="D93" s="66"/>
      <c r="E93" s="105"/>
      <c r="F93" s="105"/>
      <c r="G93" s="105"/>
      <c r="H93" s="105"/>
      <c r="I93" s="105"/>
      <c r="J93" s="105"/>
      <c r="K93" s="105"/>
      <c r="L93" s="105"/>
      <c r="M93" s="1"/>
      <c r="Q93" s="65"/>
      <c r="R93" s="85" t="s">
        <v>909</v>
      </c>
      <c r="S93" s="85" t="s">
        <v>910</v>
      </c>
      <c r="T93" s="85" t="s">
        <v>911</v>
      </c>
      <c r="U93" t="str">
        <f t="shared" si="6"/>
        <v>KGS Kirgisische Som</v>
      </c>
    </row>
    <row r="94" spans="1:21">
      <c r="A94" s="109">
        <v>84</v>
      </c>
      <c r="B94" s="104" t="s">
        <v>358</v>
      </c>
      <c r="C94" s="104" t="s">
        <v>106</v>
      </c>
      <c r="D94" s="104"/>
      <c r="E94" s="105"/>
      <c r="F94" s="105"/>
      <c r="G94" s="105"/>
      <c r="H94" s="105"/>
      <c r="I94" s="105"/>
      <c r="J94" s="105"/>
      <c r="K94" s="105"/>
      <c r="L94" s="105"/>
      <c r="M94" s="1"/>
      <c r="Q94" s="65"/>
      <c r="R94" s="85" t="s">
        <v>912</v>
      </c>
      <c r="S94" s="85" t="s">
        <v>913</v>
      </c>
      <c r="T94" s="85" t="s">
        <v>914</v>
      </c>
      <c r="U94" t="str">
        <f t="shared" si="6"/>
        <v>KHR Kambodschanische Riel</v>
      </c>
    </row>
    <row r="95" spans="1:21">
      <c r="A95" s="109">
        <v>85</v>
      </c>
      <c r="B95" s="104" t="s">
        <v>161</v>
      </c>
      <c r="C95" s="104" t="s">
        <v>161</v>
      </c>
      <c r="D95" s="104"/>
      <c r="E95" s="105"/>
      <c r="F95" s="105"/>
      <c r="G95" s="105"/>
      <c r="H95" s="105"/>
      <c r="I95" s="105"/>
      <c r="J95" s="105"/>
      <c r="K95" s="105"/>
      <c r="L95" s="105"/>
      <c r="M95" s="1"/>
      <c r="R95" s="85" t="s">
        <v>915</v>
      </c>
      <c r="S95" s="85" t="s">
        <v>916</v>
      </c>
      <c r="T95" s="85" t="s">
        <v>917</v>
      </c>
      <c r="U95" t="str">
        <f t="shared" si="6"/>
        <v>KMF Komoren-Frank</v>
      </c>
    </row>
    <row r="96" spans="1:21">
      <c r="A96" s="109">
        <v>86</v>
      </c>
      <c r="B96" s="104" t="s">
        <v>1295</v>
      </c>
      <c r="C96" s="104" t="s">
        <v>1296</v>
      </c>
      <c r="D96" s="104"/>
      <c r="E96" s="105"/>
      <c r="F96" s="105"/>
      <c r="G96" s="105"/>
      <c r="H96" s="105"/>
      <c r="I96" s="105"/>
      <c r="J96" s="105"/>
      <c r="K96" s="105"/>
      <c r="L96" s="105"/>
      <c r="M96" s="1"/>
      <c r="R96" s="85" t="s">
        <v>918</v>
      </c>
      <c r="S96" s="85" t="s">
        <v>919</v>
      </c>
      <c r="T96" s="85" t="s">
        <v>920</v>
      </c>
      <c r="U96" t="str">
        <f t="shared" si="6"/>
        <v>KPW Nordkoreanische Won</v>
      </c>
    </row>
    <row r="97" spans="1:21">
      <c r="A97" s="109">
        <v>87</v>
      </c>
      <c r="B97" s="104" t="s">
        <v>162</v>
      </c>
      <c r="C97" s="104" t="s">
        <v>162</v>
      </c>
      <c r="D97" s="104"/>
      <c r="E97" s="105"/>
      <c r="F97" s="105"/>
      <c r="G97" s="105"/>
      <c r="H97" s="105"/>
      <c r="I97" s="105"/>
      <c r="J97" s="105"/>
      <c r="K97" s="105"/>
      <c r="L97" s="105"/>
      <c r="M97" s="1"/>
      <c r="Q97" s="65"/>
      <c r="R97" s="85" t="s">
        <v>921</v>
      </c>
      <c r="S97" s="85" t="s">
        <v>922</v>
      </c>
      <c r="T97" s="85" t="s">
        <v>923</v>
      </c>
      <c r="U97" t="str">
        <f t="shared" si="6"/>
        <v>KRW Südkoreanische Won</v>
      </c>
    </row>
    <row r="98" spans="1:21">
      <c r="A98" s="109">
        <v>88</v>
      </c>
      <c r="B98" s="113" t="s">
        <v>359</v>
      </c>
      <c r="C98" s="104" t="s">
        <v>172</v>
      </c>
      <c r="D98" s="105"/>
      <c r="E98" s="105"/>
      <c r="F98" s="105"/>
      <c r="G98" s="105"/>
      <c r="H98" s="105"/>
      <c r="I98" s="105"/>
      <c r="J98" s="105"/>
      <c r="K98" s="105"/>
      <c r="L98" s="105"/>
      <c r="M98" s="1"/>
      <c r="Q98" s="65"/>
      <c r="R98" s="85" t="s">
        <v>924</v>
      </c>
      <c r="S98" s="85" t="s">
        <v>925</v>
      </c>
      <c r="T98" s="85" t="s">
        <v>926</v>
      </c>
      <c r="U98" t="str">
        <f t="shared" si="6"/>
        <v>KWD Kuwaitische Dinar</v>
      </c>
    </row>
    <row r="99" spans="1:21">
      <c r="A99" s="109">
        <v>89</v>
      </c>
      <c r="B99" s="66" t="s">
        <v>267</v>
      </c>
      <c r="C99" s="7" t="s">
        <v>165</v>
      </c>
      <c r="D99" s="105"/>
      <c r="E99" s="105"/>
      <c r="F99" s="105"/>
      <c r="G99" s="105"/>
      <c r="H99" s="105"/>
      <c r="I99" s="105"/>
      <c r="J99" s="105"/>
      <c r="K99" s="105"/>
      <c r="L99" s="105"/>
      <c r="M99" s="1"/>
      <c r="R99" s="85" t="s">
        <v>927</v>
      </c>
      <c r="S99" s="85" t="s">
        <v>928</v>
      </c>
      <c r="T99" s="85" t="s">
        <v>929</v>
      </c>
      <c r="U99" t="str">
        <f t="shared" si="6"/>
        <v>KYD Kaiman-Dollar</v>
      </c>
    </row>
    <row r="100" spans="1:21">
      <c r="A100" s="109">
        <v>90</v>
      </c>
      <c r="B100" s="113" t="s">
        <v>268</v>
      </c>
      <c r="C100" s="7" t="s">
        <v>15</v>
      </c>
      <c r="D100" s="105"/>
      <c r="E100" s="105"/>
      <c r="F100" s="105"/>
      <c r="G100" s="105"/>
      <c r="H100" s="105"/>
      <c r="I100" s="105"/>
      <c r="J100" s="105"/>
      <c r="K100" s="105"/>
      <c r="L100" s="105"/>
      <c r="M100" s="1"/>
      <c r="Q100" s="65"/>
      <c r="R100" s="85" t="s">
        <v>930</v>
      </c>
      <c r="S100" s="85" t="s">
        <v>931</v>
      </c>
      <c r="T100" s="85" t="s">
        <v>932</v>
      </c>
      <c r="U100" t="str">
        <f t="shared" si="6"/>
        <v>KZT Kazachische Tenge</v>
      </c>
    </row>
    <row r="101" spans="1:21">
      <c r="A101" s="109">
        <v>91</v>
      </c>
      <c r="B101" s="113" t="s">
        <v>16</v>
      </c>
      <c r="C101" s="7" t="s">
        <v>16</v>
      </c>
      <c r="D101" s="105"/>
      <c r="E101" s="105"/>
      <c r="F101" s="105"/>
      <c r="G101" s="105"/>
      <c r="H101" s="105"/>
      <c r="I101" s="105"/>
      <c r="J101" s="105"/>
      <c r="K101" s="105"/>
      <c r="L101" s="105"/>
      <c r="M101" s="1"/>
      <c r="R101" s="85" t="s">
        <v>933</v>
      </c>
      <c r="S101" s="85" t="s">
        <v>934</v>
      </c>
      <c r="T101" s="85" t="s">
        <v>935</v>
      </c>
      <c r="U101" t="str">
        <f t="shared" si="6"/>
        <v>LAK Laotische Kip</v>
      </c>
    </row>
    <row r="102" spans="1:21">
      <c r="A102" s="109">
        <v>92</v>
      </c>
      <c r="B102" s="113" t="s">
        <v>269</v>
      </c>
      <c r="C102" s="7" t="s">
        <v>26</v>
      </c>
      <c r="D102" s="105"/>
      <c r="E102" s="105"/>
      <c r="F102" s="105"/>
      <c r="G102" s="105"/>
      <c r="H102" s="105"/>
      <c r="I102" s="105"/>
      <c r="J102" s="105"/>
      <c r="K102" s="105"/>
      <c r="L102" s="105"/>
      <c r="M102" s="1"/>
      <c r="Q102" s="65"/>
      <c r="R102" s="85" t="s">
        <v>936</v>
      </c>
      <c r="S102" s="85" t="s">
        <v>937</v>
      </c>
      <c r="T102" s="85" t="s">
        <v>938</v>
      </c>
      <c r="U102" t="str">
        <f t="shared" si="6"/>
        <v>LBP Libanesisches Pfund</v>
      </c>
    </row>
    <row r="103" spans="1:21">
      <c r="A103" s="109">
        <v>93</v>
      </c>
      <c r="B103" s="113" t="s">
        <v>270</v>
      </c>
      <c r="C103" s="7" t="s">
        <v>17</v>
      </c>
      <c r="D103" s="105"/>
      <c r="E103" s="105"/>
      <c r="F103" s="105"/>
      <c r="G103" s="105"/>
      <c r="H103" s="105"/>
      <c r="I103" s="105"/>
      <c r="J103" s="105"/>
      <c r="K103" s="105"/>
      <c r="L103" s="105"/>
      <c r="M103" s="1"/>
      <c r="Q103" s="65"/>
      <c r="R103" s="85" t="s">
        <v>939</v>
      </c>
      <c r="S103" s="85" t="s">
        <v>940</v>
      </c>
      <c r="T103" s="85" t="s">
        <v>941</v>
      </c>
      <c r="U103" t="str">
        <f t="shared" si="6"/>
        <v>LKR Sri-Lanka-Rupie</v>
      </c>
    </row>
    <row r="104" spans="1:21">
      <c r="A104" s="109">
        <v>94</v>
      </c>
      <c r="B104" s="128" t="s">
        <v>360</v>
      </c>
      <c r="C104" s="128" t="s">
        <v>166</v>
      </c>
      <c r="D104" s="105"/>
      <c r="E104" s="105"/>
      <c r="F104" s="105"/>
      <c r="G104" s="105"/>
      <c r="H104" s="105"/>
      <c r="I104" s="105"/>
      <c r="J104" s="105"/>
      <c r="K104" s="105"/>
      <c r="L104" s="105"/>
      <c r="M104" s="1"/>
      <c r="Q104" s="65"/>
      <c r="R104" s="85" t="s">
        <v>942</v>
      </c>
      <c r="S104" s="85" t="s">
        <v>943</v>
      </c>
      <c r="T104" s="85" t="s">
        <v>944</v>
      </c>
      <c r="U104" t="str">
        <f t="shared" si="6"/>
        <v>LRD Liberianischer Dollar</v>
      </c>
    </row>
    <row r="105" spans="1:21">
      <c r="A105" s="109">
        <v>95</v>
      </c>
      <c r="B105" s="128" t="s">
        <v>291</v>
      </c>
      <c r="C105" s="128" t="s">
        <v>18</v>
      </c>
      <c r="D105" s="105"/>
      <c r="E105" s="105"/>
      <c r="F105" s="105"/>
      <c r="G105" s="105"/>
      <c r="H105" s="105"/>
      <c r="I105" s="105"/>
      <c r="J105" s="105"/>
      <c r="K105" s="105"/>
      <c r="L105" s="105"/>
      <c r="M105" s="1"/>
      <c r="Q105" s="65"/>
      <c r="R105" s="85" t="s">
        <v>945</v>
      </c>
      <c r="S105" s="85" t="s">
        <v>946</v>
      </c>
      <c r="T105" s="85" t="s">
        <v>947</v>
      </c>
      <c r="U105" t="str">
        <f t="shared" si="6"/>
        <v>LSL Lesotische Loti</v>
      </c>
    </row>
    <row r="106" spans="1:21">
      <c r="A106" s="109">
        <v>96</v>
      </c>
      <c r="B106" s="128" t="s">
        <v>168</v>
      </c>
      <c r="C106" s="128" t="s">
        <v>167</v>
      </c>
      <c r="D106" s="105"/>
      <c r="E106" s="105"/>
      <c r="F106" s="105"/>
      <c r="G106" s="105"/>
      <c r="H106" s="105"/>
      <c r="I106" s="105"/>
      <c r="J106" s="105"/>
      <c r="K106" s="105"/>
      <c r="L106" s="105"/>
      <c r="M106" s="1"/>
      <c r="Q106" s="65"/>
      <c r="R106" s="85" t="s">
        <v>948</v>
      </c>
      <c r="S106" s="85" t="s">
        <v>949</v>
      </c>
      <c r="T106" s="85" t="s">
        <v>950</v>
      </c>
      <c r="U106" t="str">
        <f t="shared" ref="U106:U137" si="7">CONCATENATE(R106&amp;" "&amp;IF(Language=$B$11,S106,T106))</f>
        <v>LTL Litauische Lita</v>
      </c>
    </row>
    <row r="107" spans="1:21">
      <c r="A107" s="109">
        <v>97</v>
      </c>
      <c r="B107" s="128" t="s">
        <v>271</v>
      </c>
      <c r="C107" s="128" t="s">
        <v>169</v>
      </c>
      <c r="D107" s="105"/>
      <c r="E107" s="105"/>
      <c r="F107" s="105"/>
      <c r="G107" s="105"/>
      <c r="H107" s="105"/>
      <c r="I107" s="105"/>
      <c r="J107" s="105"/>
      <c r="K107" s="105"/>
      <c r="L107" s="105"/>
      <c r="M107" s="1"/>
      <c r="Q107" s="65"/>
      <c r="R107" s="85" t="s">
        <v>951</v>
      </c>
      <c r="S107" s="85" t="s">
        <v>952</v>
      </c>
      <c r="T107" s="85" t="s">
        <v>953</v>
      </c>
      <c r="U107" t="str">
        <f t="shared" si="7"/>
        <v>LUF Luxembourgische Franken</v>
      </c>
    </row>
    <row r="108" spans="1:21">
      <c r="A108" s="109">
        <v>98</v>
      </c>
      <c r="B108" s="128" t="s">
        <v>361</v>
      </c>
      <c r="C108" s="123" t="s">
        <v>25</v>
      </c>
      <c r="D108" s="116"/>
      <c r="E108" s="116"/>
      <c r="F108" s="105"/>
      <c r="G108" s="105"/>
      <c r="H108" s="105"/>
      <c r="I108" s="105"/>
      <c r="J108" s="105"/>
      <c r="K108" s="105"/>
      <c r="L108" s="105"/>
      <c r="M108" s="1"/>
      <c r="Q108" s="65"/>
      <c r="R108" s="85" t="s">
        <v>954</v>
      </c>
      <c r="S108" s="85" t="s">
        <v>955</v>
      </c>
      <c r="T108" s="85" t="s">
        <v>956</v>
      </c>
      <c r="U108" t="str">
        <f t="shared" si="7"/>
        <v>LVL Lettländische Lat</v>
      </c>
    </row>
    <row r="109" spans="1:21">
      <c r="A109" s="109">
        <v>99</v>
      </c>
      <c r="B109" s="128" t="s">
        <v>292</v>
      </c>
      <c r="C109" s="123" t="s">
        <v>19</v>
      </c>
      <c r="D109" s="116"/>
      <c r="E109" s="116"/>
      <c r="F109" s="105"/>
      <c r="G109" s="105"/>
      <c r="H109" s="105"/>
      <c r="I109" s="105"/>
      <c r="J109" s="105"/>
      <c r="K109" s="105"/>
      <c r="L109" s="105"/>
      <c r="M109" s="1"/>
      <c r="Q109" s="65"/>
      <c r="R109" s="85" t="s">
        <v>957</v>
      </c>
      <c r="S109" s="85" t="s">
        <v>958</v>
      </c>
      <c r="T109" s="85" t="s">
        <v>959</v>
      </c>
      <c r="U109" t="str">
        <f t="shared" si="7"/>
        <v>LYD Libyscher Dinar</v>
      </c>
    </row>
    <row r="110" spans="1:21">
      <c r="A110" s="109">
        <v>100</v>
      </c>
      <c r="B110" s="128" t="s">
        <v>293</v>
      </c>
      <c r="C110" s="123" t="s">
        <v>110</v>
      </c>
      <c r="D110" s="116"/>
      <c r="E110" s="116"/>
      <c r="F110" s="105"/>
      <c r="G110" s="105"/>
      <c r="H110" s="105"/>
      <c r="I110" s="105"/>
      <c r="J110" s="105"/>
      <c r="K110" s="105"/>
      <c r="L110" s="105"/>
      <c r="M110" s="1"/>
      <c r="Q110" s="65"/>
      <c r="R110" s="85" t="s">
        <v>960</v>
      </c>
      <c r="S110" s="85" t="s">
        <v>961</v>
      </c>
      <c r="T110" s="85" t="s">
        <v>962</v>
      </c>
      <c r="U110" t="str">
        <f t="shared" si="7"/>
        <v>MAD Marokkanische Dirham</v>
      </c>
    </row>
    <row r="111" spans="1:21">
      <c r="A111" s="109">
        <v>101</v>
      </c>
      <c r="B111" s="128" t="s">
        <v>294</v>
      </c>
      <c r="C111" s="123" t="s">
        <v>111</v>
      </c>
      <c r="D111" s="116"/>
      <c r="E111" s="116"/>
      <c r="F111" s="105"/>
      <c r="G111" s="105"/>
      <c r="H111" s="105"/>
      <c r="I111" s="105"/>
      <c r="J111" s="105"/>
      <c r="K111" s="105"/>
      <c r="L111" s="105"/>
      <c r="M111" s="1"/>
      <c r="Q111" s="65"/>
      <c r="R111" s="85" t="s">
        <v>963</v>
      </c>
      <c r="S111" s="85" t="s">
        <v>964</v>
      </c>
      <c r="T111" s="85" t="s">
        <v>965</v>
      </c>
      <c r="U111" t="str">
        <f t="shared" si="7"/>
        <v>MDL Moldavische Lei</v>
      </c>
    </row>
    <row r="112" spans="1:21">
      <c r="A112" s="109">
        <v>102</v>
      </c>
      <c r="B112" s="128" t="s">
        <v>295</v>
      </c>
      <c r="C112" s="123" t="s">
        <v>173</v>
      </c>
      <c r="D112" s="116"/>
      <c r="E112" s="116"/>
      <c r="F112" s="105"/>
      <c r="G112" s="105"/>
      <c r="H112" s="105"/>
      <c r="I112" s="105"/>
      <c r="J112" s="105"/>
      <c r="K112" s="105"/>
      <c r="L112" s="105"/>
      <c r="M112" s="1"/>
      <c r="Q112" s="65"/>
      <c r="R112" s="85" t="s">
        <v>966</v>
      </c>
      <c r="S112" s="85" t="s">
        <v>967</v>
      </c>
      <c r="T112" s="85" t="s">
        <v>968</v>
      </c>
      <c r="U112" t="str">
        <f t="shared" si="7"/>
        <v>MGF Madagasker Frank</v>
      </c>
    </row>
    <row r="113" spans="1:21">
      <c r="A113" s="109">
        <v>103</v>
      </c>
      <c r="B113" s="128" t="s">
        <v>296</v>
      </c>
      <c r="C113" s="123" t="s">
        <v>174</v>
      </c>
      <c r="D113" s="116"/>
      <c r="E113" s="116"/>
      <c r="F113" s="105"/>
      <c r="G113" s="105"/>
      <c r="H113" s="105"/>
      <c r="I113" s="105"/>
      <c r="J113" s="105"/>
      <c r="K113" s="105"/>
      <c r="L113" s="105"/>
      <c r="M113" s="1"/>
      <c r="Q113" s="65"/>
      <c r="R113" s="85" t="s">
        <v>969</v>
      </c>
      <c r="S113" s="85" t="s">
        <v>970</v>
      </c>
      <c r="T113" s="85" t="s">
        <v>971</v>
      </c>
      <c r="U113" t="str">
        <f t="shared" si="7"/>
        <v>MKD Mazedonische Denar</v>
      </c>
    </row>
    <row r="114" spans="1:21">
      <c r="A114" s="109">
        <v>104</v>
      </c>
      <c r="B114" s="128" t="s">
        <v>20</v>
      </c>
      <c r="C114" s="123" t="s">
        <v>20</v>
      </c>
      <c r="D114" s="116"/>
      <c r="E114" s="116"/>
      <c r="F114" s="105"/>
      <c r="G114" s="105"/>
      <c r="H114" s="105"/>
      <c r="I114" s="105"/>
      <c r="J114" s="105"/>
      <c r="K114" s="105"/>
      <c r="L114" s="105"/>
      <c r="M114" s="1"/>
      <c r="Q114" s="65"/>
      <c r="R114" s="85" t="s">
        <v>972</v>
      </c>
      <c r="S114" s="85" t="s">
        <v>973</v>
      </c>
      <c r="T114" s="85" t="s">
        <v>973</v>
      </c>
      <c r="U114" t="str">
        <f t="shared" si="7"/>
        <v>MMK Myanmar Kyat</v>
      </c>
    </row>
    <row r="115" spans="1:21">
      <c r="A115" s="109">
        <v>105</v>
      </c>
      <c r="B115" s="128" t="s">
        <v>272</v>
      </c>
      <c r="C115" s="123" t="s">
        <v>21</v>
      </c>
      <c r="D115" s="116"/>
      <c r="E115" s="116"/>
      <c r="F115" s="105"/>
      <c r="G115" s="105"/>
      <c r="H115" s="105"/>
      <c r="I115" s="105"/>
      <c r="J115" s="105"/>
      <c r="K115" s="105"/>
      <c r="L115" s="105"/>
      <c r="M115" s="1"/>
      <c r="Q115" s="65"/>
      <c r="R115" s="85" t="s">
        <v>974</v>
      </c>
      <c r="S115" s="85" t="s">
        <v>975</v>
      </c>
      <c r="T115" s="85" t="s">
        <v>976</v>
      </c>
      <c r="U115" t="str">
        <f t="shared" si="7"/>
        <v>MNT Mongolianische Tugrik</v>
      </c>
    </row>
    <row r="116" spans="1:21">
      <c r="A116" s="109">
        <v>106</v>
      </c>
      <c r="B116" s="128" t="s">
        <v>273</v>
      </c>
      <c r="C116" s="129" t="s">
        <v>175</v>
      </c>
      <c r="D116" s="105"/>
      <c r="E116" s="105"/>
      <c r="F116" s="105"/>
      <c r="G116" s="105"/>
      <c r="H116" s="105"/>
      <c r="I116" s="105"/>
      <c r="J116" s="105"/>
      <c r="K116" s="105"/>
      <c r="L116" s="105"/>
      <c r="M116" s="1"/>
      <c r="Q116" s="65"/>
      <c r="R116" s="85" t="s">
        <v>977</v>
      </c>
      <c r="S116" s="85" t="s">
        <v>978</v>
      </c>
      <c r="T116" s="85" t="s">
        <v>979</v>
      </c>
      <c r="U116" t="str">
        <f t="shared" si="7"/>
        <v>MOP Macauanische Pataca</v>
      </c>
    </row>
    <row r="117" spans="1:21">
      <c r="A117" s="109">
        <v>107</v>
      </c>
      <c r="B117" s="128" t="s">
        <v>274</v>
      </c>
      <c r="C117" s="129" t="s">
        <v>176</v>
      </c>
      <c r="D117" s="105"/>
      <c r="E117" s="105"/>
      <c r="F117" s="105"/>
      <c r="G117" s="105"/>
      <c r="H117" s="105"/>
      <c r="I117" s="105"/>
      <c r="J117" s="105"/>
      <c r="K117" s="105"/>
      <c r="L117" s="105"/>
      <c r="M117" s="1"/>
      <c r="Q117" s="65"/>
      <c r="R117" s="85" t="s">
        <v>980</v>
      </c>
      <c r="S117" s="85" t="s">
        <v>981</v>
      </c>
      <c r="T117" s="85" t="s">
        <v>982</v>
      </c>
      <c r="U117" t="str">
        <f t="shared" si="7"/>
        <v>MRO Mauretanische Ouguiya</v>
      </c>
    </row>
    <row r="118" spans="1:21">
      <c r="A118" s="109">
        <v>108</v>
      </c>
      <c r="B118" s="128" t="s">
        <v>275</v>
      </c>
      <c r="C118" s="129" t="s">
        <v>177</v>
      </c>
      <c r="D118" s="105"/>
      <c r="E118" s="105"/>
      <c r="F118" s="105"/>
      <c r="G118" s="105"/>
      <c r="H118" s="105"/>
      <c r="I118" s="105"/>
      <c r="J118" s="105"/>
      <c r="K118" s="105"/>
      <c r="L118" s="105"/>
      <c r="M118" s="1"/>
      <c r="Q118" s="65"/>
      <c r="R118" s="85" t="s">
        <v>983</v>
      </c>
      <c r="S118" s="85" t="s">
        <v>984</v>
      </c>
      <c r="T118" s="85" t="s">
        <v>985</v>
      </c>
      <c r="U118" t="str">
        <f t="shared" si="7"/>
        <v>MTL Maltesische Lira</v>
      </c>
    </row>
    <row r="119" spans="1:21">
      <c r="A119" s="109">
        <v>109</v>
      </c>
      <c r="B119" s="7" t="s">
        <v>1419</v>
      </c>
      <c r="C119" s="7" t="s">
        <v>1420</v>
      </c>
      <c r="D119" s="105"/>
      <c r="E119" s="105"/>
      <c r="F119" s="105"/>
      <c r="G119" s="105"/>
      <c r="H119" s="105"/>
      <c r="I119" s="105"/>
      <c r="J119" s="105"/>
      <c r="K119" s="105"/>
      <c r="L119" s="105"/>
      <c r="M119" s="1"/>
      <c r="Q119" s="79"/>
      <c r="R119" s="85" t="s">
        <v>986</v>
      </c>
      <c r="S119" s="85" t="s">
        <v>987</v>
      </c>
      <c r="T119" s="85" t="s">
        <v>988</v>
      </c>
      <c r="U119" t="str">
        <f t="shared" si="7"/>
        <v>MUR Mauritius Rupie</v>
      </c>
    </row>
    <row r="120" spans="1:21" ht="25.5">
      <c r="A120" s="109">
        <v>110</v>
      </c>
      <c r="B120" s="7" t="s">
        <v>1320</v>
      </c>
      <c r="C120" s="7" t="s">
        <v>1321</v>
      </c>
      <c r="D120" s="105"/>
      <c r="E120" s="105"/>
      <c r="F120" s="105"/>
      <c r="G120" s="105"/>
      <c r="H120" s="105"/>
      <c r="I120" s="105"/>
      <c r="J120" s="105"/>
      <c r="K120" s="105"/>
      <c r="L120" s="105"/>
      <c r="M120" s="1"/>
      <c r="Q120" s="79"/>
      <c r="R120" s="85" t="s">
        <v>989</v>
      </c>
      <c r="S120" s="85" t="s">
        <v>990</v>
      </c>
      <c r="T120" s="85" t="s">
        <v>991</v>
      </c>
      <c r="U120" t="str">
        <f t="shared" si="7"/>
        <v>MVR Maledivische Rufiyaa</v>
      </c>
    </row>
    <row r="121" spans="1:21">
      <c r="A121" s="109">
        <v>111</v>
      </c>
      <c r="B121" s="7" t="s">
        <v>276</v>
      </c>
      <c r="C121" s="7" t="s">
        <v>178</v>
      </c>
      <c r="D121" s="105"/>
      <c r="E121" s="105"/>
      <c r="F121" s="105"/>
      <c r="G121" s="105"/>
      <c r="H121" s="105"/>
      <c r="I121" s="105"/>
      <c r="J121" s="105"/>
      <c r="K121" s="105"/>
      <c r="L121" s="105"/>
      <c r="M121" s="1"/>
      <c r="Q121" s="65"/>
      <c r="R121" s="85" t="s">
        <v>992</v>
      </c>
      <c r="S121" s="85" t="s">
        <v>993</v>
      </c>
      <c r="T121" s="85" t="s">
        <v>994</v>
      </c>
      <c r="U121" t="str">
        <f t="shared" si="7"/>
        <v>MWK Malawi-Kwacha</v>
      </c>
    </row>
    <row r="122" spans="1:21" ht="25.5">
      <c r="A122" s="109">
        <v>112</v>
      </c>
      <c r="B122" s="7" t="s">
        <v>1297</v>
      </c>
      <c r="C122" s="7" t="s">
        <v>1298</v>
      </c>
      <c r="D122" s="105"/>
      <c r="E122" s="105"/>
      <c r="F122" s="105"/>
      <c r="G122" s="105"/>
      <c r="H122" s="105"/>
      <c r="I122" s="105"/>
      <c r="J122" s="105"/>
      <c r="K122" s="105"/>
      <c r="L122" s="105"/>
      <c r="M122" s="1"/>
      <c r="Q122" s="65"/>
      <c r="R122" s="85" t="s">
        <v>995</v>
      </c>
      <c r="S122" s="85" t="s">
        <v>996</v>
      </c>
      <c r="T122" s="85" t="s">
        <v>997</v>
      </c>
      <c r="U122" t="str">
        <f t="shared" si="7"/>
        <v>MXN Mexikanische Pesos</v>
      </c>
    </row>
    <row r="123" spans="1:21">
      <c r="A123" s="109">
        <v>113</v>
      </c>
      <c r="B123" s="7" t="s">
        <v>383</v>
      </c>
      <c r="C123" s="7" t="s">
        <v>179</v>
      </c>
      <c r="D123" s="105"/>
      <c r="E123" s="105"/>
      <c r="F123" s="105"/>
      <c r="G123" s="105"/>
      <c r="H123" s="105"/>
      <c r="I123" s="105"/>
      <c r="J123" s="105"/>
      <c r="K123" s="105"/>
      <c r="L123" s="105"/>
      <c r="M123" s="1"/>
      <c r="Q123" s="65"/>
      <c r="R123" s="85" t="s">
        <v>998</v>
      </c>
      <c r="S123" s="85" t="s">
        <v>999</v>
      </c>
      <c r="T123" s="85" t="s">
        <v>1000</v>
      </c>
      <c r="U123" t="str">
        <f t="shared" si="7"/>
        <v>MYR Malaysischer Ringgit</v>
      </c>
    </row>
    <row r="124" spans="1:21">
      <c r="A124" s="109">
        <v>114</v>
      </c>
      <c r="B124" s="205" t="s">
        <v>1350</v>
      </c>
      <c r="C124" s="105" t="s">
        <v>215</v>
      </c>
      <c r="D124" s="105"/>
      <c r="E124" s="105"/>
      <c r="F124" s="105"/>
      <c r="G124" s="105"/>
      <c r="H124" s="105"/>
      <c r="I124" s="105"/>
      <c r="J124" s="105"/>
      <c r="K124" s="105"/>
      <c r="L124" s="105"/>
      <c r="M124" s="1"/>
      <c r="Q124" s="65"/>
      <c r="R124" s="85" t="s">
        <v>1001</v>
      </c>
      <c r="S124" s="85" t="s">
        <v>1002</v>
      </c>
      <c r="T124" s="85" t="s">
        <v>1003</v>
      </c>
      <c r="U124" t="str">
        <f t="shared" si="7"/>
        <v>MZM Mosambikanische Metical</v>
      </c>
    </row>
    <row r="125" spans="1:21">
      <c r="A125" s="109">
        <v>115</v>
      </c>
      <c r="B125" s="205" t="s">
        <v>1351</v>
      </c>
      <c r="C125" s="105" t="s">
        <v>1354</v>
      </c>
      <c r="D125" s="105"/>
      <c r="E125" s="105"/>
      <c r="F125" s="105"/>
      <c r="G125" s="105"/>
      <c r="H125" s="105"/>
      <c r="I125" s="105"/>
      <c r="J125" s="105"/>
      <c r="K125" s="105"/>
      <c r="L125" s="105"/>
      <c r="M125" s="1"/>
      <c r="Q125" s="65"/>
      <c r="R125" s="85" t="s">
        <v>1004</v>
      </c>
      <c r="S125" s="85" t="s">
        <v>1005</v>
      </c>
      <c r="T125" s="85" t="s">
        <v>1006</v>
      </c>
      <c r="U125" t="str">
        <f t="shared" si="7"/>
        <v>NAD Namibia Dollar</v>
      </c>
    </row>
    <row r="126" spans="1:21">
      <c r="A126" s="109">
        <v>116</v>
      </c>
      <c r="B126" s="205" t="s">
        <v>1352</v>
      </c>
      <c r="C126" s="105" t="s">
        <v>1355</v>
      </c>
      <c r="D126" s="105"/>
      <c r="E126" s="105"/>
      <c r="F126" s="105"/>
      <c r="G126" s="105"/>
      <c r="H126" s="105"/>
      <c r="I126" s="105"/>
      <c r="J126" s="105"/>
      <c r="K126" s="105"/>
      <c r="L126" s="105"/>
      <c r="M126" s="1"/>
      <c r="Q126" s="65"/>
      <c r="R126" s="85" t="s">
        <v>1007</v>
      </c>
      <c r="S126" s="85" t="s">
        <v>1008</v>
      </c>
      <c r="T126" s="85" t="s">
        <v>1009</v>
      </c>
      <c r="U126" t="str">
        <f t="shared" si="7"/>
        <v>NGN Nigerianische Naira</v>
      </c>
    </row>
    <row r="127" spans="1:21">
      <c r="A127" s="109">
        <v>117</v>
      </c>
      <c r="B127" s="105" t="s">
        <v>277</v>
      </c>
      <c r="C127" s="7" t="s">
        <v>94</v>
      </c>
      <c r="D127" s="105"/>
      <c r="E127" s="105"/>
      <c r="F127" s="105"/>
      <c r="G127" s="105"/>
      <c r="H127" s="105"/>
      <c r="I127" s="105"/>
      <c r="J127" s="105"/>
      <c r="K127" s="105"/>
      <c r="L127" s="105"/>
      <c r="M127" s="1"/>
      <c r="Q127" s="65"/>
      <c r="R127" s="85" t="s">
        <v>1010</v>
      </c>
      <c r="S127" s="85" t="s">
        <v>1011</v>
      </c>
      <c r="T127" s="85" t="s">
        <v>1012</v>
      </c>
      <c r="U127" t="str">
        <f t="shared" si="7"/>
        <v>NIO Nicaraguanische Cordoba Oro</v>
      </c>
    </row>
    <row r="128" spans="1:21" ht="25.5">
      <c r="A128" s="109">
        <v>118</v>
      </c>
      <c r="B128" s="105" t="s">
        <v>362</v>
      </c>
      <c r="C128" s="117" t="s">
        <v>95</v>
      </c>
      <c r="D128" s="118"/>
      <c r="E128" s="118"/>
      <c r="F128" s="105"/>
      <c r="G128" s="105"/>
      <c r="H128" s="105"/>
      <c r="I128" s="105"/>
      <c r="J128" s="105"/>
      <c r="K128" s="105"/>
      <c r="L128" s="105"/>
      <c r="M128" s="1"/>
      <c r="Q128" s="65"/>
      <c r="R128" s="85" t="s">
        <v>1013</v>
      </c>
      <c r="S128" s="85" t="s">
        <v>1014</v>
      </c>
      <c r="T128" s="85" t="s">
        <v>1015</v>
      </c>
      <c r="U128" t="str">
        <f t="shared" si="7"/>
        <v>NLG Niederländische Gulden</v>
      </c>
    </row>
    <row r="129" spans="1:21" ht="38.25">
      <c r="A129" s="109">
        <v>119</v>
      </c>
      <c r="B129" s="105" t="s">
        <v>279</v>
      </c>
      <c r="C129" s="117" t="s">
        <v>96</v>
      </c>
      <c r="D129" s="66"/>
      <c r="E129" s="66"/>
      <c r="F129" s="66"/>
      <c r="G129" s="105"/>
      <c r="H129" s="105"/>
      <c r="I129" s="105"/>
      <c r="J129" s="105"/>
      <c r="K129" s="105"/>
      <c r="L129" s="105"/>
      <c r="M129" s="1"/>
      <c r="Q129" s="65"/>
      <c r="R129" s="85" t="s">
        <v>1016</v>
      </c>
      <c r="S129" s="85" t="s">
        <v>1017</v>
      </c>
      <c r="T129" s="85" t="s">
        <v>1018</v>
      </c>
      <c r="U129" t="str">
        <f t="shared" si="7"/>
        <v>NOK Norwegische Kronen</v>
      </c>
    </row>
    <row r="130" spans="1:21" ht="25.5">
      <c r="A130" s="109">
        <v>120</v>
      </c>
      <c r="B130" s="105" t="s">
        <v>278</v>
      </c>
      <c r="C130" s="117" t="s">
        <v>1234</v>
      </c>
      <c r="D130" s="118"/>
      <c r="E130" s="118"/>
      <c r="F130" s="66"/>
      <c r="G130" s="66"/>
      <c r="H130" s="66"/>
      <c r="I130" s="66"/>
      <c r="J130" s="105"/>
      <c r="K130" s="66"/>
      <c r="L130" s="66"/>
      <c r="Q130" s="65"/>
      <c r="R130" s="85" t="s">
        <v>1019</v>
      </c>
      <c r="S130" s="85" t="s">
        <v>1020</v>
      </c>
      <c r="T130" s="85" t="s">
        <v>1021</v>
      </c>
      <c r="U130" t="str">
        <f t="shared" si="7"/>
        <v>NPR Nepalesische Rupie</v>
      </c>
    </row>
    <row r="131" spans="1:21">
      <c r="A131" s="109">
        <v>121</v>
      </c>
      <c r="B131" s="105" t="s">
        <v>280</v>
      </c>
      <c r="C131" s="117" t="s">
        <v>100</v>
      </c>
      <c r="D131" s="118"/>
      <c r="E131" s="118"/>
      <c r="F131" s="66"/>
      <c r="G131" s="66"/>
      <c r="H131" s="66"/>
      <c r="I131" s="66"/>
      <c r="J131" s="66"/>
      <c r="K131" s="66"/>
      <c r="L131" s="66"/>
      <c r="Q131" s="65"/>
      <c r="R131" s="85" t="s">
        <v>1022</v>
      </c>
      <c r="S131" s="85" t="s">
        <v>1023</v>
      </c>
      <c r="T131" s="85" t="s">
        <v>1024</v>
      </c>
      <c r="U131" t="str">
        <f t="shared" si="7"/>
        <v>NZD Neuseeland-Dollar</v>
      </c>
    </row>
    <row r="132" spans="1:21">
      <c r="A132" s="109">
        <v>122</v>
      </c>
      <c r="B132" s="105" t="s">
        <v>299</v>
      </c>
      <c r="C132" s="117" t="s">
        <v>97</v>
      </c>
      <c r="D132" s="118"/>
      <c r="E132" s="118"/>
      <c r="F132" s="66"/>
      <c r="G132" s="66"/>
      <c r="H132" s="66"/>
      <c r="I132" s="66"/>
      <c r="J132" s="66"/>
      <c r="K132" s="66"/>
      <c r="L132" s="66"/>
      <c r="Q132" s="65"/>
      <c r="R132" s="85" t="s">
        <v>1025</v>
      </c>
      <c r="S132" s="85" t="s">
        <v>1026</v>
      </c>
      <c r="T132" s="85" t="s">
        <v>1027</v>
      </c>
      <c r="U132" t="str">
        <f t="shared" si="7"/>
        <v>OMR Rial Omani</v>
      </c>
    </row>
    <row r="133" spans="1:21">
      <c r="A133" s="109">
        <v>123</v>
      </c>
      <c r="B133" s="66" t="s">
        <v>297</v>
      </c>
      <c r="C133" s="66" t="s">
        <v>93</v>
      </c>
      <c r="D133" s="66"/>
      <c r="E133" s="66"/>
      <c r="F133" s="66"/>
      <c r="G133" s="66"/>
      <c r="H133" s="66"/>
      <c r="I133" s="66"/>
      <c r="J133" s="66"/>
      <c r="K133" s="66"/>
      <c r="L133" s="66"/>
      <c r="Q133" s="65"/>
      <c r="R133" s="85" t="s">
        <v>1028</v>
      </c>
      <c r="S133" s="85" t="s">
        <v>1029</v>
      </c>
      <c r="T133" s="85" t="s">
        <v>1030</v>
      </c>
      <c r="U133" t="str">
        <f t="shared" si="7"/>
        <v>PAB Panamaische Balboa</v>
      </c>
    </row>
    <row r="134" spans="1:21" ht="25.5">
      <c r="A134" s="109">
        <v>124</v>
      </c>
      <c r="B134" s="66" t="s">
        <v>363</v>
      </c>
      <c r="C134" s="117" t="s">
        <v>103</v>
      </c>
      <c r="D134" s="118"/>
      <c r="E134" s="118"/>
      <c r="F134" s="66"/>
      <c r="G134" s="66"/>
      <c r="H134" s="66"/>
      <c r="I134" s="66"/>
      <c r="J134" s="66"/>
      <c r="K134" s="66"/>
      <c r="L134" s="66"/>
      <c r="Q134" s="65"/>
      <c r="R134" s="85" t="s">
        <v>1031</v>
      </c>
      <c r="S134" s="85" t="s">
        <v>1032</v>
      </c>
      <c r="T134" s="85" t="s">
        <v>1033</v>
      </c>
      <c r="U134" t="str">
        <f t="shared" si="7"/>
        <v>PEN Peruanischer neuer Sol</v>
      </c>
    </row>
    <row r="135" spans="1:21" ht="38.25">
      <c r="A135" s="109">
        <v>125</v>
      </c>
      <c r="B135" s="66" t="s">
        <v>301</v>
      </c>
      <c r="C135" s="117" t="s">
        <v>99</v>
      </c>
      <c r="D135" s="66"/>
      <c r="E135" s="66"/>
      <c r="F135" s="66"/>
      <c r="G135" s="66"/>
      <c r="H135" s="66"/>
      <c r="I135" s="66"/>
      <c r="J135" s="66"/>
      <c r="K135" s="66"/>
      <c r="L135" s="66"/>
      <c r="Q135" s="65"/>
      <c r="R135" s="85" t="s">
        <v>1034</v>
      </c>
      <c r="S135" s="85" t="s">
        <v>1035</v>
      </c>
      <c r="T135" s="85" t="s">
        <v>1036</v>
      </c>
      <c r="U135" t="str">
        <f t="shared" si="7"/>
        <v>PGK Papua-Neuguineische Kina</v>
      </c>
    </row>
    <row r="136" spans="1:21" ht="25.5">
      <c r="A136" s="109">
        <v>126</v>
      </c>
      <c r="B136" s="66" t="s">
        <v>300</v>
      </c>
      <c r="C136" s="117" t="s">
        <v>98</v>
      </c>
      <c r="D136" s="118"/>
      <c r="E136" s="118"/>
      <c r="F136" s="66"/>
      <c r="G136" s="66"/>
      <c r="H136" s="66"/>
      <c r="I136" s="66"/>
      <c r="J136" s="66"/>
      <c r="K136" s="66"/>
      <c r="L136" s="66"/>
      <c r="Q136" s="65"/>
      <c r="R136" s="85" t="s">
        <v>1037</v>
      </c>
      <c r="S136" s="85" t="s">
        <v>1038</v>
      </c>
      <c r="T136" s="85" t="s">
        <v>1039</v>
      </c>
      <c r="U136" t="str">
        <f t="shared" si="7"/>
        <v>PHP Philippinische Peso</v>
      </c>
    </row>
    <row r="137" spans="1:21">
      <c r="A137" s="109">
        <v>127</v>
      </c>
      <c r="B137" s="66" t="s">
        <v>302</v>
      </c>
      <c r="C137" s="117" t="s">
        <v>105</v>
      </c>
      <c r="D137" s="118"/>
      <c r="E137" s="118"/>
      <c r="F137" s="66"/>
      <c r="G137" s="66"/>
      <c r="H137" s="66"/>
      <c r="I137" s="66"/>
      <c r="J137" s="66"/>
      <c r="K137" s="66"/>
      <c r="L137" s="66"/>
      <c r="Q137" s="65"/>
      <c r="R137" s="85" t="s">
        <v>1040</v>
      </c>
      <c r="S137" s="85" t="s">
        <v>1041</v>
      </c>
      <c r="T137" s="85" t="s">
        <v>1042</v>
      </c>
      <c r="U137" t="str">
        <f t="shared" si="7"/>
        <v>PKR Pakistanische Rupie</v>
      </c>
    </row>
    <row r="138" spans="1:21" ht="25.5">
      <c r="A138" s="109">
        <v>128</v>
      </c>
      <c r="B138" s="66" t="s">
        <v>303</v>
      </c>
      <c r="C138" s="117" t="s">
        <v>101</v>
      </c>
      <c r="D138" s="118"/>
      <c r="E138" s="118"/>
      <c r="F138" s="66"/>
      <c r="G138" s="66"/>
      <c r="H138" s="66"/>
      <c r="I138" s="66"/>
      <c r="J138" s="66"/>
      <c r="K138" s="66"/>
      <c r="L138" s="66"/>
      <c r="Q138" s="65"/>
      <c r="R138" s="85" t="s">
        <v>1043</v>
      </c>
      <c r="S138" s="85" t="s">
        <v>1044</v>
      </c>
      <c r="T138" s="85" t="s">
        <v>1045</v>
      </c>
      <c r="U138" t="str">
        <f t="shared" ref="U138:U169" si="8">CONCATENATE(R138&amp;" "&amp;IF(Language=$B$11,S138,T138))</f>
        <v>PLN Polnische Zloty (neu)</v>
      </c>
    </row>
    <row r="139" spans="1:21">
      <c r="A139" s="109">
        <v>129</v>
      </c>
      <c r="B139" s="66" t="s">
        <v>298</v>
      </c>
      <c r="C139" s="66" t="s">
        <v>90</v>
      </c>
      <c r="D139" s="66"/>
      <c r="E139" s="66"/>
      <c r="F139" s="66"/>
      <c r="G139" s="66"/>
      <c r="H139" s="66"/>
      <c r="I139" s="66"/>
      <c r="J139" s="66"/>
      <c r="K139" s="66"/>
      <c r="L139" s="66"/>
      <c r="Q139" s="65"/>
      <c r="R139" s="85" t="s">
        <v>1046</v>
      </c>
      <c r="S139" s="85"/>
      <c r="T139" s="85" t="s">
        <v>1047</v>
      </c>
      <c r="U139" t="str">
        <f t="shared" si="8"/>
        <v xml:space="preserve">PLZ </v>
      </c>
    </row>
    <row r="140" spans="1:21">
      <c r="A140" s="109">
        <v>130</v>
      </c>
      <c r="B140" s="66" t="s">
        <v>364</v>
      </c>
      <c r="C140" s="117" t="s">
        <v>102</v>
      </c>
      <c r="D140" s="118"/>
      <c r="E140" s="118"/>
      <c r="F140" s="66"/>
      <c r="G140" s="66"/>
      <c r="H140" s="66"/>
      <c r="I140" s="66"/>
      <c r="J140" s="66"/>
      <c r="K140" s="66"/>
      <c r="L140" s="66"/>
      <c r="Q140" s="65"/>
      <c r="R140" s="85" t="s">
        <v>1048</v>
      </c>
      <c r="S140" s="85" t="s">
        <v>1049</v>
      </c>
      <c r="T140" s="85" t="s">
        <v>1050</v>
      </c>
      <c r="U140" t="str">
        <f t="shared" si="8"/>
        <v>PTE Portugiesische Escudos</v>
      </c>
    </row>
    <row r="141" spans="1:21" ht="25.5">
      <c r="A141" s="109">
        <v>131</v>
      </c>
      <c r="B141" s="110" t="s">
        <v>366</v>
      </c>
      <c r="C141" s="117" t="s">
        <v>365</v>
      </c>
      <c r="D141" s="66"/>
      <c r="E141" s="66"/>
      <c r="F141" s="66"/>
      <c r="G141" s="66"/>
      <c r="H141" s="66"/>
      <c r="I141" s="66"/>
      <c r="J141" s="66"/>
      <c r="K141" s="66"/>
      <c r="L141" s="66"/>
      <c r="R141" s="85" t="s">
        <v>1051</v>
      </c>
      <c r="S141" s="85" t="s">
        <v>1052</v>
      </c>
      <c r="T141" s="85" t="s">
        <v>1053</v>
      </c>
      <c r="U141" t="str">
        <f t="shared" si="8"/>
        <v>PYG Paraguayische Guarani</v>
      </c>
    </row>
    <row r="142" spans="1:21" ht="25.5">
      <c r="A142" s="109">
        <v>132</v>
      </c>
      <c r="B142" s="66" t="s">
        <v>304</v>
      </c>
      <c r="C142" s="117" t="s">
        <v>1233</v>
      </c>
      <c r="D142" s="118"/>
      <c r="E142" s="118"/>
      <c r="F142" s="66"/>
      <c r="G142" s="66"/>
      <c r="H142" s="66"/>
      <c r="I142" s="66"/>
      <c r="J142" s="66"/>
      <c r="K142" s="66"/>
      <c r="L142" s="66"/>
      <c r="R142" s="85" t="s">
        <v>1054</v>
      </c>
      <c r="S142" s="85" t="s">
        <v>1055</v>
      </c>
      <c r="T142" s="85" t="s">
        <v>1056</v>
      </c>
      <c r="U142" t="str">
        <f t="shared" si="8"/>
        <v>QAR Katar-Riyal</v>
      </c>
    </row>
    <row r="143" spans="1:21">
      <c r="A143" s="109">
        <v>133</v>
      </c>
      <c r="B143" s="66" t="s">
        <v>305</v>
      </c>
      <c r="C143" s="117" t="s">
        <v>104</v>
      </c>
      <c r="D143" s="118"/>
      <c r="E143" s="118"/>
      <c r="F143" s="66"/>
      <c r="G143" s="66"/>
      <c r="H143" s="66"/>
      <c r="I143" s="66"/>
      <c r="J143" s="66"/>
      <c r="K143" s="66"/>
      <c r="L143" s="66"/>
      <c r="R143" s="85" t="s">
        <v>1057</v>
      </c>
      <c r="S143" s="85" t="s">
        <v>1058</v>
      </c>
      <c r="T143" s="85" t="s">
        <v>1059</v>
      </c>
      <c r="U143" t="str">
        <f t="shared" si="8"/>
        <v>RMB Chinesische RenMinBi Yuan</v>
      </c>
    </row>
    <row r="144" spans="1:21" ht="25.5">
      <c r="A144" s="109">
        <v>134</v>
      </c>
      <c r="B144" s="66" t="s">
        <v>306</v>
      </c>
      <c r="C144" s="117" t="s">
        <v>180</v>
      </c>
      <c r="D144" s="118"/>
      <c r="E144" s="118"/>
      <c r="F144" s="66"/>
      <c r="G144" s="66"/>
      <c r="H144" s="66"/>
      <c r="I144" s="66"/>
      <c r="J144" s="66"/>
      <c r="K144" s="66"/>
      <c r="L144" s="66"/>
      <c r="Q144" s="65"/>
      <c r="R144" s="85" t="s">
        <v>1060</v>
      </c>
      <c r="S144" s="85" t="s">
        <v>1061</v>
      </c>
      <c r="T144" s="85" t="s">
        <v>1062</v>
      </c>
      <c r="U144" t="str">
        <f t="shared" si="8"/>
        <v>ROL Rumänische Lei</v>
      </c>
    </row>
    <row r="145" spans="1:21">
      <c r="A145" s="109">
        <v>135</v>
      </c>
      <c r="B145" s="110" t="s">
        <v>1418</v>
      </c>
      <c r="C145" s="110" t="s">
        <v>1417</v>
      </c>
      <c r="D145" s="66"/>
      <c r="E145" s="66"/>
      <c r="F145" s="66"/>
      <c r="G145" s="66"/>
      <c r="H145" s="66"/>
      <c r="I145" s="66"/>
      <c r="J145" s="66"/>
      <c r="K145" s="66"/>
      <c r="L145" s="66"/>
      <c r="Q145" s="65"/>
      <c r="R145" s="85" t="s">
        <v>1063</v>
      </c>
      <c r="S145" s="85" t="s">
        <v>1061</v>
      </c>
      <c r="T145" s="85" t="s">
        <v>1064</v>
      </c>
      <c r="U145" t="str">
        <f t="shared" si="8"/>
        <v>RON Rumänische Lei</v>
      </c>
    </row>
    <row r="146" spans="1:21">
      <c r="A146" s="109">
        <v>136</v>
      </c>
      <c r="B146" s="66" t="s">
        <v>307</v>
      </c>
      <c r="C146" s="66" t="s">
        <v>189</v>
      </c>
      <c r="D146" s="66"/>
      <c r="E146" s="66"/>
      <c r="F146" s="66"/>
      <c r="G146" s="66"/>
      <c r="H146" s="66"/>
      <c r="I146" s="66"/>
      <c r="J146" s="66"/>
      <c r="K146" s="66"/>
      <c r="L146" s="66"/>
      <c r="Q146" s="65"/>
      <c r="R146" s="85" t="s">
        <v>1065</v>
      </c>
      <c r="S146" s="85" t="s">
        <v>1066</v>
      </c>
      <c r="T146" s="85" t="s">
        <v>1067</v>
      </c>
      <c r="U146" t="str">
        <f t="shared" si="8"/>
        <v>RSD Serbischer Dinar</v>
      </c>
    </row>
    <row r="147" spans="1:21" ht="63.75">
      <c r="A147" s="109">
        <v>137</v>
      </c>
      <c r="B147" s="110" t="s">
        <v>1236</v>
      </c>
      <c r="C147" s="66" t="s">
        <v>1235</v>
      </c>
      <c r="D147" s="66"/>
      <c r="E147" s="66"/>
      <c r="F147" s="66"/>
      <c r="G147" s="66"/>
      <c r="H147" s="66"/>
      <c r="I147" s="66"/>
      <c r="J147" s="66"/>
      <c r="K147" s="66"/>
      <c r="L147" s="66"/>
      <c r="Q147" s="65"/>
      <c r="R147" s="85" t="s">
        <v>1068</v>
      </c>
      <c r="S147" s="85" t="s">
        <v>1069</v>
      </c>
      <c r="T147" s="85" t="s">
        <v>1070</v>
      </c>
      <c r="U147" t="str">
        <f t="shared" si="8"/>
        <v>RUB Russische Rubel</v>
      </c>
    </row>
    <row r="148" spans="1:21">
      <c r="A148" s="109">
        <v>138</v>
      </c>
      <c r="B148" s="66" t="s">
        <v>308</v>
      </c>
      <c r="C148" s="110" t="s">
        <v>203</v>
      </c>
      <c r="D148" s="66"/>
      <c r="E148" s="66"/>
      <c r="F148" s="66"/>
      <c r="G148" s="66"/>
      <c r="H148" s="66"/>
      <c r="I148" s="66"/>
      <c r="J148" s="66"/>
      <c r="K148" s="66"/>
      <c r="L148" s="66"/>
      <c r="Q148" s="65"/>
      <c r="R148" s="85" t="s">
        <v>1071</v>
      </c>
      <c r="S148" s="85"/>
      <c r="T148" s="85"/>
      <c r="U148" t="str">
        <f t="shared" si="8"/>
        <v xml:space="preserve">RUE </v>
      </c>
    </row>
    <row r="149" spans="1:21">
      <c r="A149" s="109">
        <v>139</v>
      </c>
      <c r="B149" s="110" t="s">
        <v>1346</v>
      </c>
      <c r="C149" s="110" t="s">
        <v>1347</v>
      </c>
      <c r="D149" s="66"/>
      <c r="E149" s="66"/>
      <c r="F149" s="66"/>
      <c r="G149" s="66"/>
      <c r="H149" s="66"/>
      <c r="I149" s="66"/>
      <c r="J149" s="66"/>
      <c r="K149" s="66"/>
      <c r="L149" s="66"/>
      <c r="Q149" s="65"/>
      <c r="R149" s="85" t="s">
        <v>1072</v>
      </c>
      <c r="S149" s="85" t="s">
        <v>1073</v>
      </c>
      <c r="T149" s="85" t="s">
        <v>1074</v>
      </c>
      <c r="U149" t="str">
        <f t="shared" si="8"/>
        <v>RWF Ruanda Franc</v>
      </c>
    </row>
    <row r="150" spans="1:21">
      <c r="A150" s="109">
        <v>140</v>
      </c>
      <c r="B150" s="66" t="s">
        <v>309</v>
      </c>
      <c r="C150" s="66" t="s">
        <v>84</v>
      </c>
      <c r="D150" s="66"/>
      <c r="E150" s="66"/>
      <c r="F150" s="66"/>
      <c r="G150" s="66"/>
      <c r="H150" s="66"/>
      <c r="I150" s="66"/>
      <c r="J150" s="66"/>
      <c r="K150" s="66"/>
      <c r="L150" s="66"/>
      <c r="Q150" s="65"/>
      <c r="R150" s="85" t="s">
        <v>1075</v>
      </c>
      <c r="S150" s="85" t="s">
        <v>1076</v>
      </c>
      <c r="T150" s="85" t="s">
        <v>1076</v>
      </c>
      <c r="U150" t="str">
        <f t="shared" si="8"/>
        <v>SAR Saudi Riyal</v>
      </c>
    </row>
    <row r="151" spans="1:21" ht="165" customHeight="1">
      <c r="A151" s="109">
        <v>141</v>
      </c>
      <c r="B151" s="110" t="s">
        <v>1362</v>
      </c>
      <c r="C151" s="110" t="s">
        <v>1363</v>
      </c>
      <c r="D151" s="66"/>
      <c r="E151" s="66"/>
      <c r="F151" s="66"/>
      <c r="G151" s="66"/>
      <c r="H151" s="66"/>
      <c r="I151" s="66"/>
      <c r="J151" s="66"/>
      <c r="K151" s="66"/>
      <c r="L151" s="66"/>
      <c r="Q151" s="65"/>
      <c r="R151" s="85" t="s">
        <v>1077</v>
      </c>
      <c r="S151" s="85" t="s">
        <v>1078</v>
      </c>
      <c r="T151" s="85" t="s">
        <v>1079</v>
      </c>
      <c r="U151" s="86" t="str">
        <f t="shared" si="8"/>
        <v>SBD Salomonen Dollar</v>
      </c>
    </row>
    <row r="152" spans="1:21" ht="25.5">
      <c r="A152" s="109">
        <v>142</v>
      </c>
      <c r="B152" s="66" t="s">
        <v>310</v>
      </c>
      <c r="C152" s="119" t="s">
        <v>204</v>
      </c>
      <c r="D152" s="119"/>
      <c r="E152" s="119"/>
      <c r="F152" s="66"/>
      <c r="G152" s="66"/>
      <c r="H152" s="66"/>
      <c r="I152" s="66"/>
      <c r="J152" s="66"/>
      <c r="K152" s="66"/>
      <c r="L152" s="66"/>
      <c r="R152" s="85" t="s">
        <v>1080</v>
      </c>
      <c r="S152" s="85" t="s">
        <v>1081</v>
      </c>
      <c r="T152" s="85" t="s">
        <v>1082</v>
      </c>
      <c r="U152" t="str">
        <f t="shared" si="8"/>
        <v>SCR Seychellen Rupie</v>
      </c>
    </row>
    <row r="153" spans="1:21">
      <c r="A153" s="109">
        <v>143</v>
      </c>
      <c r="B153" s="66" t="s">
        <v>311</v>
      </c>
      <c r="C153" s="119" t="s">
        <v>190</v>
      </c>
      <c r="D153" s="119"/>
      <c r="E153" s="119"/>
      <c r="F153" s="66"/>
      <c r="G153" s="66"/>
      <c r="H153" s="66"/>
      <c r="I153" s="66"/>
      <c r="J153" s="66"/>
      <c r="K153" s="66"/>
      <c r="L153" s="66"/>
      <c r="Q153" s="65"/>
      <c r="R153" s="85" t="s">
        <v>1083</v>
      </c>
      <c r="S153" s="85" t="s">
        <v>1084</v>
      </c>
      <c r="T153" s="85" t="s">
        <v>1085</v>
      </c>
      <c r="U153" t="str">
        <f t="shared" si="8"/>
        <v>SDP Sudanesisches Pfund</v>
      </c>
    </row>
    <row r="154" spans="1:21">
      <c r="A154" s="109">
        <v>144</v>
      </c>
      <c r="B154" s="110" t="s">
        <v>374</v>
      </c>
      <c r="C154" s="66" t="s">
        <v>216</v>
      </c>
      <c r="D154" s="66"/>
      <c r="E154" s="66"/>
      <c r="F154" s="66"/>
      <c r="G154" s="66"/>
      <c r="H154" s="66"/>
      <c r="I154" s="66"/>
      <c r="J154" s="66"/>
      <c r="K154" s="66"/>
      <c r="L154" s="66"/>
      <c r="Q154" s="79"/>
      <c r="R154" s="85" t="s">
        <v>1086</v>
      </c>
      <c r="S154" s="85" t="s">
        <v>1087</v>
      </c>
      <c r="T154" s="85" t="s">
        <v>1088</v>
      </c>
      <c r="U154" t="str">
        <f t="shared" si="8"/>
        <v>SEK Schwedische Kronen</v>
      </c>
    </row>
    <row r="155" spans="1:21" ht="25.5">
      <c r="A155" s="109">
        <v>145</v>
      </c>
      <c r="B155" s="66" t="s">
        <v>312</v>
      </c>
      <c r="C155" s="66" t="s">
        <v>45</v>
      </c>
      <c r="D155" s="66"/>
      <c r="E155" s="66"/>
      <c r="F155" s="66"/>
      <c r="G155" s="66"/>
      <c r="H155" s="66"/>
      <c r="I155" s="66"/>
      <c r="J155" s="66"/>
      <c r="K155" s="66"/>
      <c r="L155" s="66"/>
      <c r="Q155" s="65"/>
      <c r="R155" s="85" t="s">
        <v>1089</v>
      </c>
      <c r="S155" s="85" t="s">
        <v>1090</v>
      </c>
      <c r="T155" s="85" t="s">
        <v>1091</v>
      </c>
      <c r="U155" t="str">
        <f t="shared" si="8"/>
        <v>SGD Singapur Dollar</v>
      </c>
    </row>
    <row r="156" spans="1:21" ht="25.5">
      <c r="A156" s="109">
        <v>146</v>
      </c>
      <c r="B156" s="110" t="s">
        <v>373</v>
      </c>
      <c r="C156" s="66" t="s">
        <v>205</v>
      </c>
      <c r="D156" s="66"/>
      <c r="E156" s="66"/>
      <c r="F156" s="66"/>
      <c r="G156" s="66"/>
      <c r="H156" s="66"/>
      <c r="I156" s="66"/>
      <c r="J156" s="66"/>
      <c r="K156" s="66"/>
      <c r="L156" s="66"/>
      <c r="Q156" s="65"/>
      <c r="R156" s="85" t="s">
        <v>1092</v>
      </c>
      <c r="S156" s="85" t="s">
        <v>1093</v>
      </c>
      <c r="T156" s="85" t="s">
        <v>1094</v>
      </c>
      <c r="U156" t="str">
        <f t="shared" si="8"/>
        <v>SHP St. Helena Pfund</v>
      </c>
    </row>
    <row r="157" spans="1:21">
      <c r="A157" s="109">
        <v>147</v>
      </c>
      <c r="B157" s="66" t="s">
        <v>313</v>
      </c>
      <c r="C157" s="66" t="s">
        <v>46</v>
      </c>
      <c r="D157" s="66"/>
      <c r="E157" s="66"/>
      <c r="F157" s="66"/>
      <c r="G157" s="66"/>
      <c r="H157" s="66"/>
      <c r="I157" s="66"/>
      <c r="J157" s="66"/>
      <c r="K157" s="66"/>
      <c r="L157" s="66"/>
      <c r="R157" s="85" t="s">
        <v>1095</v>
      </c>
      <c r="S157" s="85" t="s">
        <v>1096</v>
      </c>
      <c r="T157" s="85" t="s">
        <v>1097</v>
      </c>
      <c r="U157" t="str">
        <f t="shared" si="8"/>
        <v>SIT Slowenische Tolar</v>
      </c>
    </row>
    <row r="158" spans="1:21">
      <c r="A158" s="109">
        <v>148</v>
      </c>
      <c r="B158" s="66" t="s">
        <v>314</v>
      </c>
      <c r="C158" s="66" t="s">
        <v>206</v>
      </c>
      <c r="D158" s="66"/>
      <c r="E158" s="66"/>
      <c r="F158" s="66"/>
      <c r="G158" s="66"/>
      <c r="H158" s="66"/>
      <c r="I158" s="66"/>
      <c r="J158" s="66"/>
      <c r="K158" s="66"/>
      <c r="L158" s="66"/>
      <c r="Q158" s="65"/>
      <c r="R158" s="85" t="s">
        <v>1098</v>
      </c>
      <c r="S158" s="85" t="s">
        <v>1099</v>
      </c>
      <c r="T158" s="85" t="s">
        <v>1100</v>
      </c>
      <c r="U158" t="str">
        <f t="shared" si="8"/>
        <v>SKK Slowakische Krone</v>
      </c>
    </row>
    <row r="159" spans="1:21">
      <c r="A159" s="109">
        <v>149</v>
      </c>
      <c r="B159" s="66" t="s">
        <v>315</v>
      </c>
      <c r="C159" s="66" t="s">
        <v>47</v>
      </c>
      <c r="D159" s="66"/>
      <c r="E159" s="66"/>
      <c r="F159" s="66"/>
      <c r="G159" s="66"/>
      <c r="H159" s="66"/>
      <c r="I159" s="66"/>
      <c r="J159" s="66"/>
      <c r="K159" s="66"/>
      <c r="L159" s="66"/>
      <c r="Q159" s="65"/>
      <c r="R159" s="85" t="s">
        <v>1101</v>
      </c>
      <c r="S159" s="85" t="s">
        <v>1102</v>
      </c>
      <c r="T159" s="85" t="s">
        <v>1102</v>
      </c>
      <c r="U159" t="str">
        <f t="shared" si="8"/>
        <v>SLL Sierra Leone Leone</v>
      </c>
    </row>
    <row r="160" spans="1:21">
      <c r="A160" s="109">
        <v>150</v>
      </c>
      <c r="B160" s="66" t="s">
        <v>316</v>
      </c>
      <c r="C160" s="66" t="s">
        <v>89</v>
      </c>
      <c r="D160" s="66"/>
      <c r="E160" s="66"/>
      <c r="F160" s="66"/>
      <c r="G160" s="66"/>
      <c r="H160" s="66"/>
      <c r="I160" s="66"/>
      <c r="J160" s="66"/>
      <c r="K160" s="66"/>
      <c r="L160" s="66"/>
      <c r="Q160" s="65"/>
      <c r="R160" s="85" t="s">
        <v>1103</v>
      </c>
      <c r="S160" s="85" t="s">
        <v>1104</v>
      </c>
      <c r="T160" s="85" t="s">
        <v>1105</v>
      </c>
      <c r="U160" t="str">
        <f t="shared" si="8"/>
        <v>SOS Somalia Schilling</v>
      </c>
    </row>
    <row r="161" spans="1:21" ht="38.25">
      <c r="A161" s="109">
        <v>151</v>
      </c>
      <c r="B161" s="66" t="s">
        <v>317</v>
      </c>
      <c r="C161" s="66" t="s">
        <v>48</v>
      </c>
      <c r="D161" s="66"/>
      <c r="E161" s="66"/>
      <c r="F161" s="66"/>
      <c r="G161" s="66"/>
      <c r="H161" s="66"/>
      <c r="I161" s="66"/>
      <c r="J161" s="66"/>
      <c r="K161" s="66"/>
      <c r="L161" s="66"/>
      <c r="Q161" s="65"/>
      <c r="R161" s="85" t="s">
        <v>1106</v>
      </c>
      <c r="S161" s="85" t="s">
        <v>1107</v>
      </c>
      <c r="T161" s="85" t="s">
        <v>1108</v>
      </c>
      <c r="U161" t="str">
        <f t="shared" si="8"/>
        <v>SRG Surinamische Gulden</v>
      </c>
    </row>
    <row r="162" spans="1:21">
      <c r="A162" s="109">
        <v>152</v>
      </c>
      <c r="B162" s="66" t="s">
        <v>318</v>
      </c>
      <c r="C162" s="66" t="s">
        <v>49</v>
      </c>
      <c r="D162" s="66"/>
      <c r="E162" s="66"/>
      <c r="F162" s="120"/>
      <c r="G162" s="66"/>
      <c r="H162" s="66"/>
      <c r="I162" s="66"/>
      <c r="J162" s="66"/>
      <c r="K162" s="66"/>
      <c r="L162" s="66"/>
      <c r="Q162" s="65"/>
      <c r="R162" s="85" t="s">
        <v>1109</v>
      </c>
      <c r="S162" s="85" t="s">
        <v>1110</v>
      </c>
      <c r="T162" s="85" t="s">
        <v>1111</v>
      </c>
      <c r="U162" t="str">
        <f t="shared" si="8"/>
        <v>STD Santomeische Dobra</v>
      </c>
    </row>
    <row r="163" spans="1:21" ht="15">
      <c r="A163" s="109">
        <v>153</v>
      </c>
      <c r="B163" s="66" t="s">
        <v>319</v>
      </c>
      <c r="C163" s="120" t="s">
        <v>212</v>
      </c>
      <c r="D163" s="120"/>
      <c r="E163" s="120"/>
      <c r="F163" s="121"/>
      <c r="G163" s="120"/>
      <c r="H163" s="120"/>
      <c r="I163" s="120"/>
      <c r="J163" s="66"/>
      <c r="K163" s="66"/>
      <c r="L163" s="66"/>
      <c r="R163" s="85" t="s">
        <v>1112</v>
      </c>
      <c r="S163" s="85" t="s">
        <v>1113</v>
      </c>
      <c r="T163" s="85" t="s">
        <v>1114</v>
      </c>
      <c r="U163" t="str">
        <f t="shared" si="8"/>
        <v>SVC El Salvador-Colon</v>
      </c>
    </row>
    <row r="164" spans="1:21" ht="25.5">
      <c r="A164" s="109">
        <v>154</v>
      </c>
      <c r="B164" s="66" t="s">
        <v>320</v>
      </c>
      <c r="C164" s="120" t="s">
        <v>50</v>
      </c>
      <c r="D164" s="120"/>
      <c r="E164" s="120"/>
      <c r="F164" s="120"/>
      <c r="G164" s="122"/>
      <c r="H164" s="122"/>
      <c r="I164" s="122"/>
      <c r="J164" s="66"/>
      <c r="K164" s="66"/>
      <c r="L164" s="66"/>
      <c r="Q164" s="65"/>
      <c r="R164" s="85" t="s">
        <v>1115</v>
      </c>
      <c r="S164" s="85" t="s">
        <v>1116</v>
      </c>
      <c r="T164" s="85" t="s">
        <v>1117</v>
      </c>
      <c r="U164" t="str">
        <f t="shared" si="8"/>
        <v>SYP Syrisches Pfund</v>
      </c>
    </row>
    <row r="165" spans="1:21" ht="15">
      <c r="A165" s="109">
        <v>155</v>
      </c>
      <c r="B165" s="66" t="s">
        <v>321</v>
      </c>
      <c r="C165" s="120" t="s">
        <v>211</v>
      </c>
      <c r="D165" s="120"/>
      <c r="E165" s="120"/>
      <c r="F165" s="121"/>
      <c r="G165" s="120"/>
      <c r="H165" s="120"/>
      <c r="I165" s="120"/>
      <c r="J165" s="66"/>
      <c r="K165" s="66"/>
      <c r="L165" s="66"/>
      <c r="Q165" s="65"/>
      <c r="R165" s="85" t="s">
        <v>1118</v>
      </c>
      <c r="S165" s="85" t="s">
        <v>1119</v>
      </c>
      <c r="T165" s="85" t="s">
        <v>1120</v>
      </c>
      <c r="U165" t="str">
        <f t="shared" si="8"/>
        <v>SZL Swasiländische Lilangeni</v>
      </c>
    </row>
    <row r="166" spans="1:21" ht="38.25">
      <c r="A166" s="109">
        <v>156</v>
      </c>
      <c r="B166" s="66" t="s">
        <v>322</v>
      </c>
      <c r="C166" s="120" t="s">
        <v>51</v>
      </c>
      <c r="D166" s="120"/>
      <c r="E166" s="120"/>
      <c r="F166" s="120"/>
      <c r="G166" s="122"/>
      <c r="H166" s="122"/>
      <c r="I166" s="122"/>
      <c r="J166" s="66"/>
      <c r="K166" s="66"/>
      <c r="L166" s="66"/>
      <c r="R166" s="85" t="s">
        <v>1121</v>
      </c>
      <c r="S166" s="85" t="s">
        <v>1122</v>
      </c>
      <c r="T166" s="85" t="s">
        <v>1123</v>
      </c>
      <c r="U166" t="str">
        <f t="shared" si="8"/>
        <v>THB Thailand Bhat</v>
      </c>
    </row>
    <row r="167" spans="1:21" ht="15">
      <c r="A167" s="109">
        <v>157</v>
      </c>
      <c r="B167" s="66" t="s">
        <v>367</v>
      </c>
      <c r="C167" s="120" t="s">
        <v>210</v>
      </c>
      <c r="D167" s="120"/>
      <c r="E167" s="120"/>
      <c r="F167" s="121"/>
      <c r="G167" s="120"/>
      <c r="H167" s="120"/>
      <c r="I167" s="120"/>
      <c r="J167" s="66"/>
      <c r="K167" s="66"/>
      <c r="L167" s="66"/>
      <c r="Q167" s="79"/>
      <c r="R167" s="85" t="s">
        <v>1124</v>
      </c>
      <c r="S167" s="85" t="s">
        <v>1125</v>
      </c>
      <c r="T167" s="85" t="s">
        <v>1126</v>
      </c>
      <c r="U167" t="str">
        <f t="shared" si="8"/>
        <v>TJR Tadschikische Rubel</v>
      </c>
    </row>
    <row r="168" spans="1:21">
      <c r="A168" s="109">
        <v>158</v>
      </c>
      <c r="B168" s="66" t="s">
        <v>323</v>
      </c>
      <c r="C168" s="120" t="s">
        <v>52</v>
      </c>
      <c r="D168" s="120"/>
      <c r="E168" s="120"/>
      <c r="F168" s="120"/>
      <c r="G168" s="122"/>
      <c r="H168" s="122"/>
      <c r="I168" s="122"/>
      <c r="J168" s="66"/>
      <c r="K168" s="66"/>
      <c r="L168" s="66"/>
      <c r="Q168" s="65"/>
      <c r="R168" s="85" t="s">
        <v>1127</v>
      </c>
      <c r="S168" s="85" t="s">
        <v>1128</v>
      </c>
      <c r="T168" s="85" t="s">
        <v>1129</v>
      </c>
      <c r="U168" t="str">
        <f t="shared" si="8"/>
        <v>TMM Turkmenische Manat</v>
      </c>
    </row>
    <row r="169" spans="1:21" ht="15">
      <c r="A169" s="109">
        <v>159</v>
      </c>
      <c r="B169" s="66" t="s">
        <v>324</v>
      </c>
      <c r="C169" s="120" t="s">
        <v>209</v>
      </c>
      <c r="D169" s="120"/>
      <c r="E169" s="120"/>
      <c r="F169" s="121"/>
      <c r="G169" s="120"/>
      <c r="H169" s="120"/>
      <c r="I169" s="120"/>
      <c r="J169" s="66"/>
      <c r="K169" s="66"/>
      <c r="L169" s="66"/>
      <c r="Q169" s="65"/>
      <c r="R169" s="85" t="s">
        <v>1130</v>
      </c>
      <c r="S169" s="85" t="s">
        <v>1131</v>
      </c>
      <c r="T169" s="85" t="s">
        <v>1132</v>
      </c>
      <c r="U169" t="str">
        <f t="shared" si="8"/>
        <v>TND Tunesischer Dinar</v>
      </c>
    </row>
    <row r="170" spans="1:21">
      <c r="A170" s="109">
        <v>160</v>
      </c>
      <c r="B170" s="66" t="s">
        <v>325</v>
      </c>
      <c r="C170" s="120" t="s">
        <v>53</v>
      </c>
      <c r="D170" s="120"/>
      <c r="E170" s="120"/>
      <c r="F170" s="120"/>
      <c r="G170" s="122"/>
      <c r="H170" s="122"/>
      <c r="I170" s="122"/>
      <c r="J170" s="66"/>
      <c r="K170" s="66"/>
      <c r="L170" s="66"/>
      <c r="R170" s="85" t="s">
        <v>1133</v>
      </c>
      <c r="S170" s="85" t="s">
        <v>1134</v>
      </c>
      <c r="T170" s="85" t="s">
        <v>1135</v>
      </c>
      <c r="U170" t="str">
        <f t="shared" ref="U170:U200" si="9">CONCATENATE(R170&amp;" "&amp;IF(Language=$B$11,S170,T170))</f>
        <v>TOP Tongaische Pa'anga</v>
      </c>
    </row>
    <row r="171" spans="1:21" ht="15">
      <c r="A171" s="109">
        <v>161</v>
      </c>
      <c r="B171" s="66" t="s">
        <v>326</v>
      </c>
      <c r="C171" s="120" t="s">
        <v>213</v>
      </c>
      <c r="D171" s="120"/>
      <c r="E171" s="120"/>
      <c r="F171" s="121"/>
      <c r="G171" s="120"/>
      <c r="H171" s="120"/>
      <c r="I171" s="120"/>
      <c r="J171" s="66"/>
      <c r="K171" s="66"/>
      <c r="L171" s="66"/>
      <c r="Q171" s="65"/>
      <c r="R171" s="85" t="s">
        <v>1136</v>
      </c>
      <c r="S171" s="85" t="s">
        <v>1137</v>
      </c>
      <c r="T171" s="85" t="s">
        <v>1137</v>
      </c>
      <c r="U171" t="str">
        <f t="shared" si="9"/>
        <v>TPE Timor Escudo</v>
      </c>
    </row>
    <row r="172" spans="1:21" ht="25.5">
      <c r="A172" s="109">
        <v>162</v>
      </c>
      <c r="B172" s="66" t="s">
        <v>327</v>
      </c>
      <c r="C172" s="120" t="s">
        <v>192</v>
      </c>
      <c r="D172" s="120"/>
      <c r="E172" s="120"/>
      <c r="F172" s="66"/>
      <c r="G172" s="122"/>
      <c r="H172" s="122"/>
      <c r="I172" s="122"/>
      <c r="J172" s="66"/>
      <c r="K172" s="66"/>
      <c r="L172" s="66"/>
      <c r="Q172" s="65"/>
      <c r="R172" s="85" t="s">
        <v>1138</v>
      </c>
      <c r="S172" s="85" t="s">
        <v>1139</v>
      </c>
      <c r="T172" s="85" t="s">
        <v>1140</v>
      </c>
      <c r="U172" t="str">
        <f t="shared" si="9"/>
        <v>TRL Türkische Lira</v>
      </c>
    </row>
    <row r="173" spans="1:21">
      <c r="A173" s="109">
        <v>163</v>
      </c>
      <c r="B173" s="66" t="s">
        <v>328</v>
      </c>
      <c r="C173" s="66" t="s">
        <v>85</v>
      </c>
      <c r="D173" s="66"/>
      <c r="E173" s="66"/>
      <c r="F173" s="66"/>
      <c r="G173" s="66"/>
      <c r="H173" s="66"/>
      <c r="I173" s="66"/>
      <c r="J173" s="66"/>
      <c r="K173" s="66"/>
      <c r="L173" s="66"/>
      <c r="R173" s="85" t="s">
        <v>1141</v>
      </c>
      <c r="S173" s="85" t="s">
        <v>1139</v>
      </c>
      <c r="T173" s="85" t="s">
        <v>1142</v>
      </c>
      <c r="U173" t="str">
        <f t="shared" si="9"/>
        <v>TRY Türkische Lira</v>
      </c>
    </row>
    <row r="174" spans="1:21" ht="102">
      <c r="A174" s="109">
        <v>164</v>
      </c>
      <c r="B174" s="66" t="s">
        <v>329</v>
      </c>
      <c r="C174" s="66" t="s">
        <v>54</v>
      </c>
      <c r="D174" s="66"/>
      <c r="E174" s="66"/>
      <c r="F174" s="66"/>
      <c r="G174" s="66"/>
      <c r="H174" s="66"/>
      <c r="I174" s="66"/>
      <c r="J174" s="66"/>
      <c r="K174" s="66"/>
      <c r="L174" s="66"/>
      <c r="R174" s="85" t="s">
        <v>1143</v>
      </c>
      <c r="S174" s="85" t="s">
        <v>1144</v>
      </c>
      <c r="T174" s="85" t="s">
        <v>1145</v>
      </c>
      <c r="U174" t="str">
        <f t="shared" si="9"/>
        <v>TTD Trinidad-u. Tobago-Dollar</v>
      </c>
    </row>
    <row r="175" spans="1:21" ht="25.5">
      <c r="A175" s="109">
        <v>165</v>
      </c>
      <c r="B175" s="66" t="s">
        <v>330</v>
      </c>
      <c r="C175" s="66" t="s">
        <v>55</v>
      </c>
      <c r="D175" s="66"/>
      <c r="E175" s="66"/>
      <c r="F175" s="66"/>
      <c r="G175" s="66"/>
      <c r="H175" s="66"/>
      <c r="I175" s="66"/>
      <c r="J175" s="66"/>
      <c r="K175" s="66"/>
      <c r="L175" s="66"/>
      <c r="R175" s="85" t="s">
        <v>1146</v>
      </c>
      <c r="S175" s="85" t="s">
        <v>1147</v>
      </c>
      <c r="T175" s="85" t="s">
        <v>1148</v>
      </c>
      <c r="U175" t="str">
        <f t="shared" si="9"/>
        <v>TWD Neuer Taiwan-Dollar</v>
      </c>
    </row>
    <row r="176" spans="1:21">
      <c r="A176" s="109">
        <v>166</v>
      </c>
      <c r="B176" s="66" t="s">
        <v>331</v>
      </c>
      <c r="C176" s="66" t="s">
        <v>86</v>
      </c>
      <c r="D176" s="66"/>
      <c r="E176" s="66"/>
      <c r="F176" s="66"/>
      <c r="G176" s="66"/>
      <c r="H176" s="66"/>
      <c r="I176" s="66"/>
      <c r="J176" s="66"/>
      <c r="K176" s="66"/>
      <c r="L176" s="66"/>
      <c r="R176" s="85" t="s">
        <v>1149</v>
      </c>
      <c r="S176" s="85" t="s">
        <v>1150</v>
      </c>
      <c r="T176" s="85" t="s">
        <v>1151</v>
      </c>
      <c r="U176" t="str">
        <f t="shared" si="9"/>
        <v>TZS Tansania-Shilling</v>
      </c>
    </row>
    <row r="177" spans="1:21" ht="111" customHeight="1">
      <c r="A177" s="109">
        <v>167</v>
      </c>
      <c r="B177" s="66" t="s">
        <v>368</v>
      </c>
      <c r="C177" s="66" t="s">
        <v>56</v>
      </c>
      <c r="D177" s="66"/>
      <c r="E177" s="66"/>
      <c r="F177" s="66"/>
      <c r="G177" s="66"/>
      <c r="H177" s="66"/>
      <c r="I177" s="66"/>
      <c r="J177" s="66"/>
      <c r="K177" s="66"/>
      <c r="L177" s="66"/>
      <c r="R177" s="85" t="s">
        <v>1152</v>
      </c>
      <c r="S177" s="85" t="s">
        <v>1153</v>
      </c>
      <c r="T177" s="85" t="s">
        <v>1154</v>
      </c>
      <c r="U177" t="str">
        <f t="shared" si="9"/>
        <v>UAH Ukrainische Karbowanez</v>
      </c>
    </row>
    <row r="178" spans="1:21" ht="25.5">
      <c r="A178" s="109">
        <v>168</v>
      </c>
      <c r="B178" s="66" t="s">
        <v>332</v>
      </c>
      <c r="C178" s="66" t="s">
        <v>57</v>
      </c>
      <c r="D178" s="66"/>
      <c r="E178" s="66"/>
      <c r="F178" s="66"/>
      <c r="G178" s="66"/>
      <c r="H178" s="66"/>
      <c r="I178" s="66"/>
      <c r="J178" s="66"/>
      <c r="K178" s="66"/>
      <c r="L178" s="66"/>
      <c r="R178" s="85" t="s">
        <v>1155</v>
      </c>
      <c r="S178" s="85"/>
      <c r="T178" s="85" t="s">
        <v>1156</v>
      </c>
      <c r="U178" t="str">
        <f t="shared" si="9"/>
        <v xml:space="preserve">UAK </v>
      </c>
    </row>
    <row r="179" spans="1:21">
      <c r="A179" s="109">
        <v>169</v>
      </c>
      <c r="B179" s="66" t="s">
        <v>333</v>
      </c>
      <c r="C179" s="66" t="s">
        <v>87</v>
      </c>
      <c r="D179" s="66"/>
      <c r="E179" s="66"/>
      <c r="F179" s="120"/>
      <c r="G179" s="66"/>
      <c r="H179" s="66"/>
      <c r="I179" s="66"/>
      <c r="J179" s="66"/>
      <c r="K179" s="66"/>
      <c r="L179" s="66"/>
      <c r="R179" s="85" t="s">
        <v>1157</v>
      </c>
      <c r="S179" s="85" t="s">
        <v>1158</v>
      </c>
      <c r="T179" s="85" t="s">
        <v>1159</v>
      </c>
      <c r="U179" t="str">
        <f t="shared" si="9"/>
        <v>UGX Uganda Schilling</v>
      </c>
    </row>
    <row r="180" spans="1:21" ht="89.25">
      <c r="A180" s="109">
        <v>170</v>
      </c>
      <c r="B180" s="66" t="s">
        <v>334</v>
      </c>
      <c r="C180" s="120" t="s">
        <v>217</v>
      </c>
      <c r="D180" s="120"/>
      <c r="E180" s="120"/>
      <c r="F180" s="121"/>
      <c r="G180" s="120"/>
      <c r="H180" s="120"/>
      <c r="I180" s="120"/>
      <c r="J180" s="66"/>
      <c r="K180" s="66"/>
      <c r="L180" s="66"/>
      <c r="R180" s="85" t="s">
        <v>1160</v>
      </c>
      <c r="S180" s="85" t="s">
        <v>1161</v>
      </c>
      <c r="T180" s="85" t="s">
        <v>1162</v>
      </c>
      <c r="U180" t="str">
        <f t="shared" si="9"/>
        <v>USDN (Intern) Amerikanische Dollar (5 Nachk.)</v>
      </c>
    </row>
    <row r="181" spans="1:21" ht="38.25">
      <c r="A181" s="109">
        <v>171</v>
      </c>
      <c r="B181" s="66" t="s">
        <v>335</v>
      </c>
      <c r="C181" s="120" t="s">
        <v>58</v>
      </c>
      <c r="D181" s="120"/>
      <c r="E181" s="120"/>
      <c r="F181" s="120"/>
      <c r="G181" s="122"/>
      <c r="H181" s="122"/>
      <c r="I181" s="122"/>
      <c r="J181" s="66"/>
      <c r="K181" s="66"/>
      <c r="L181" s="66"/>
      <c r="R181" s="85" t="s">
        <v>1163</v>
      </c>
      <c r="S181" s="85" t="s">
        <v>1164</v>
      </c>
      <c r="T181" s="85" t="s">
        <v>1165</v>
      </c>
      <c r="U181" t="str">
        <f t="shared" si="9"/>
        <v>UYU Uruguy Peso (neu)</v>
      </c>
    </row>
    <row r="182" spans="1:21" ht="38.25">
      <c r="A182" s="109">
        <v>172</v>
      </c>
      <c r="B182" s="66" t="s">
        <v>336</v>
      </c>
      <c r="C182" s="120" t="s">
        <v>208</v>
      </c>
      <c r="D182" s="120"/>
      <c r="E182" s="120"/>
      <c r="F182" s="121"/>
      <c r="G182" s="120"/>
      <c r="H182" s="120"/>
      <c r="I182" s="120"/>
      <c r="J182" s="66"/>
      <c r="K182" s="66"/>
      <c r="L182" s="66"/>
      <c r="R182" s="85" t="s">
        <v>1166</v>
      </c>
      <c r="S182" s="85" t="s">
        <v>1167</v>
      </c>
      <c r="T182" s="85" t="s">
        <v>1168</v>
      </c>
      <c r="U182" t="str">
        <f t="shared" si="9"/>
        <v>UZS Uzbekistan Sum</v>
      </c>
    </row>
    <row r="183" spans="1:21" ht="25.5">
      <c r="A183" s="109">
        <v>173</v>
      </c>
      <c r="B183" s="66" t="s">
        <v>337</v>
      </c>
      <c r="C183" s="120" t="s">
        <v>59</v>
      </c>
      <c r="D183" s="120"/>
      <c r="E183" s="120"/>
      <c r="F183" s="120"/>
      <c r="G183" s="122"/>
      <c r="H183" s="122"/>
      <c r="I183" s="122"/>
      <c r="J183" s="66"/>
      <c r="K183" s="66"/>
      <c r="L183" s="66"/>
      <c r="R183" s="85" t="s">
        <v>1169</v>
      </c>
      <c r="S183" s="85" t="s">
        <v>1170</v>
      </c>
      <c r="T183" s="85" t="s">
        <v>1171</v>
      </c>
      <c r="U183" t="str">
        <f t="shared" si="9"/>
        <v>VEB Venezolanische Bolivar</v>
      </c>
    </row>
    <row r="184" spans="1:21" ht="51">
      <c r="A184" s="109">
        <v>174</v>
      </c>
      <c r="B184" s="66" t="s">
        <v>338</v>
      </c>
      <c r="C184" s="120" t="s">
        <v>218</v>
      </c>
      <c r="D184" s="120"/>
      <c r="E184" s="120"/>
      <c r="F184" s="121"/>
      <c r="G184" s="120"/>
      <c r="H184" s="120"/>
      <c r="I184" s="120"/>
      <c r="J184" s="66"/>
      <c r="K184" s="66"/>
      <c r="L184" s="66"/>
      <c r="R184" s="85" t="s">
        <v>1172</v>
      </c>
      <c r="S184" s="85" t="s">
        <v>1173</v>
      </c>
      <c r="T184" s="85" t="s">
        <v>1174</v>
      </c>
      <c r="U184" t="str">
        <f t="shared" si="9"/>
        <v>VND Vietnamesische Dong</v>
      </c>
    </row>
    <row r="185" spans="1:21" ht="25.5">
      <c r="A185" s="109">
        <v>175</v>
      </c>
      <c r="B185" s="66" t="s">
        <v>339</v>
      </c>
      <c r="C185" s="120" t="s">
        <v>60</v>
      </c>
      <c r="D185" s="120"/>
      <c r="E185" s="120"/>
      <c r="F185" s="120"/>
      <c r="G185" s="122"/>
      <c r="H185" s="122"/>
      <c r="I185" s="122"/>
      <c r="J185" s="66"/>
      <c r="K185" s="66"/>
      <c r="L185" s="66"/>
      <c r="R185" s="85" t="s">
        <v>1175</v>
      </c>
      <c r="S185" s="85" t="s">
        <v>1176</v>
      </c>
      <c r="T185" s="85" t="s">
        <v>1177</v>
      </c>
      <c r="U185" t="str">
        <f t="shared" si="9"/>
        <v>VUV Vanuatische Vatu</v>
      </c>
    </row>
    <row r="186" spans="1:21">
      <c r="A186" s="109">
        <v>176</v>
      </c>
      <c r="B186" s="66" t="s">
        <v>340</v>
      </c>
      <c r="C186" s="120" t="s">
        <v>88</v>
      </c>
      <c r="D186" s="120"/>
      <c r="E186" s="120"/>
      <c r="F186" s="120"/>
      <c r="G186" s="120"/>
      <c r="H186" s="120"/>
      <c r="I186" s="120"/>
      <c r="J186" s="66"/>
      <c r="K186" s="66"/>
      <c r="L186" s="66"/>
      <c r="R186" s="85" t="s">
        <v>1178</v>
      </c>
      <c r="S186" s="85" t="s">
        <v>1179</v>
      </c>
      <c r="T186" s="85" t="s">
        <v>1180</v>
      </c>
      <c r="U186" t="str">
        <f t="shared" si="9"/>
        <v>WST Samoanische Tala</v>
      </c>
    </row>
    <row r="187" spans="1:21" ht="51">
      <c r="A187" s="109">
        <v>177</v>
      </c>
      <c r="B187" s="66" t="s">
        <v>341</v>
      </c>
      <c r="C187" s="120" t="s">
        <v>219</v>
      </c>
      <c r="D187" s="120"/>
      <c r="E187" s="120"/>
      <c r="F187" s="120"/>
      <c r="G187" s="120"/>
      <c r="H187" s="120"/>
      <c r="I187" s="120"/>
      <c r="J187" s="66"/>
      <c r="K187" s="66"/>
      <c r="L187" s="66"/>
      <c r="R187" s="85" t="s">
        <v>1181</v>
      </c>
      <c r="S187" s="85" t="s">
        <v>1182</v>
      </c>
      <c r="T187" s="85" t="s">
        <v>1183</v>
      </c>
      <c r="U187" t="str">
        <f t="shared" si="9"/>
        <v>XAF CFA Franc  BEAC</v>
      </c>
    </row>
    <row r="188" spans="1:21" ht="25.5">
      <c r="A188" s="109">
        <v>178</v>
      </c>
      <c r="B188" s="66" t="s">
        <v>342</v>
      </c>
      <c r="C188" s="120" t="s">
        <v>194</v>
      </c>
      <c r="D188" s="120"/>
      <c r="E188" s="120"/>
      <c r="F188" s="120"/>
      <c r="G188" s="120"/>
      <c r="H188" s="120"/>
      <c r="I188" s="120"/>
      <c r="J188" s="66"/>
      <c r="K188" s="66"/>
      <c r="L188" s="66"/>
      <c r="R188" s="85" t="s">
        <v>1184</v>
      </c>
      <c r="S188" s="85" t="s">
        <v>1185</v>
      </c>
      <c r="T188" s="85" t="s">
        <v>1186</v>
      </c>
      <c r="U188" t="str">
        <f t="shared" si="9"/>
        <v>XCD Ostkaribischer Dollar</v>
      </c>
    </row>
    <row r="189" spans="1:21">
      <c r="A189" s="109">
        <v>179</v>
      </c>
      <c r="B189" s="66" t="s">
        <v>369</v>
      </c>
      <c r="C189" s="120" t="s">
        <v>195</v>
      </c>
      <c r="D189" s="120"/>
      <c r="E189" s="120"/>
      <c r="F189" s="120"/>
      <c r="G189" s="120"/>
      <c r="H189" s="120"/>
      <c r="I189" s="120"/>
      <c r="J189" s="66"/>
      <c r="K189" s="66"/>
      <c r="L189" s="66"/>
      <c r="R189" s="85" t="s">
        <v>1187</v>
      </c>
      <c r="S189" s="85" t="s">
        <v>1188</v>
      </c>
      <c r="T189" s="85" t="s">
        <v>1188</v>
      </c>
      <c r="U189" t="str">
        <f t="shared" si="9"/>
        <v>XDS St. Christopher Dollar</v>
      </c>
    </row>
    <row r="190" spans="1:21" ht="89.25">
      <c r="A190" s="109">
        <v>180</v>
      </c>
      <c r="B190" s="66" t="s">
        <v>343</v>
      </c>
      <c r="C190" s="120" t="s">
        <v>197</v>
      </c>
      <c r="D190" s="120"/>
      <c r="E190" s="120"/>
      <c r="F190" s="120"/>
      <c r="G190" s="120"/>
      <c r="H190" s="120"/>
      <c r="I190" s="120"/>
      <c r="J190" s="66"/>
      <c r="K190" s="66"/>
      <c r="L190" s="66"/>
      <c r="R190" s="85" t="s">
        <v>1189</v>
      </c>
      <c r="S190" s="85" t="s">
        <v>1190</v>
      </c>
      <c r="T190" s="85" t="s">
        <v>1191</v>
      </c>
      <c r="U190" t="str">
        <f t="shared" si="9"/>
        <v>XEU Europäische Währungs Einheit (E.C.U.)</v>
      </c>
    </row>
    <row r="191" spans="1:21" ht="25.5">
      <c r="A191" s="109">
        <v>181</v>
      </c>
      <c r="B191" s="66" t="s">
        <v>344</v>
      </c>
      <c r="C191" s="120" t="s">
        <v>207</v>
      </c>
      <c r="D191" s="120"/>
      <c r="E191" s="120"/>
      <c r="F191" s="120"/>
      <c r="G191" s="120"/>
      <c r="H191" s="120"/>
      <c r="I191" s="120"/>
      <c r="J191" s="66"/>
      <c r="K191" s="66"/>
      <c r="L191" s="66"/>
      <c r="R191" s="85" t="s">
        <v>1192</v>
      </c>
      <c r="S191" s="85" t="s">
        <v>1193</v>
      </c>
      <c r="T191" s="85" t="s">
        <v>1194</v>
      </c>
      <c r="U191" t="str">
        <f t="shared" si="9"/>
        <v>XOF CFA Franc  BCEAO</v>
      </c>
    </row>
    <row r="192" spans="1:21" ht="38.25">
      <c r="A192" s="109">
        <v>182</v>
      </c>
      <c r="B192" s="66" t="s">
        <v>345</v>
      </c>
      <c r="C192" s="120" t="s">
        <v>198</v>
      </c>
      <c r="D192" s="120"/>
      <c r="E192" s="120"/>
      <c r="F192" s="120"/>
      <c r="G192" s="120"/>
      <c r="H192" s="120"/>
      <c r="I192" s="120"/>
      <c r="J192" s="66"/>
      <c r="K192" s="66"/>
      <c r="L192" s="66"/>
      <c r="R192" s="85" t="s">
        <v>1195</v>
      </c>
      <c r="S192" s="85" t="s">
        <v>1196</v>
      </c>
      <c r="T192" s="85" t="s">
        <v>1196</v>
      </c>
      <c r="U192" t="str">
        <f t="shared" si="9"/>
        <v>XPF CFP Franc</v>
      </c>
    </row>
    <row r="193" spans="1:21" ht="38.25">
      <c r="A193" s="109">
        <v>183</v>
      </c>
      <c r="B193" s="66" t="s">
        <v>346</v>
      </c>
      <c r="C193" s="120" t="s">
        <v>200</v>
      </c>
      <c r="D193" s="120"/>
      <c r="E193" s="120"/>
      <c r="F193" s="66"/>
      <c r="G193" s="120"/>
      <c r="H193" s="120"/>
      <c r="I193" s="120"/>
      <c r="J193" s="66"/>
      <c r="K193" s="66"/>
      <c r="L193" s="66"/>
      <c r="R193" s="85" t="s">
        <v>1197</v>
      </c>
      <c r="S193" s="85" t="s">
        <v>669</v>
      </c>
      <c r="T193" s="85" t="s">
        <v>1198</v>
      </c>
      <c r="U193" t="str">
        <f t="shared" si="9"/>
        <v>YEE Europäischer Euro</v>
      </c>
    </row>
    <row r="194" spans="1:21">
      <c r="A194" s="109">
        <v>184</v>
      </c>
      <c r="B194" s="66" t="s">
        <v>347</v>
      </c>
      <c r="C194" s="66" t="s">
        <v>201</v>
      </c>
      <c r="D194" s="66"/>
      <c r="E194" s="66"/>
      <c r="F194" s="66"/>
      <c r="G194" s="66"/>
      <c r="H194" s="66"/>
      <c r="I194" s="66"/>
      <c r="J194" s="66"/>
      <c r="K194" s="66"/>
      <c r="L194" s="66"/>
      <c r="R194" s="85" t="s">
        <v>1199</v>
      </c>
      <c r="S194" s="85" t="s">
        <v>1200</v>
      </c>
      <c r="T194" s="85" t="s">
        <v>1201</v>
      </c>
      <c r="U194" t="str">
        <f t="shared" si="9"/>
        <v>YER Jemen-Rial</v>
      </c>
    </row>
    <row r="195" spans="1:21" ht="51">
      <c r="A195" s="109">
        <v>185</v>
      </c>
      <c r="B195" s="66" t="s">
        <v>348</v>
      </c>
      <c r="C195" s="66" t="s">
        <v>202</v>
      </c>
      <c r="D195" s="66"/>
      <c r="E195" s="66"/>
      <c r="F195" s="66"/>
      <c r="G195" s="66"/>
      <c r="H195" s="66"/>
      <c r="I195" s="66"/>
      <c r="J195" s="66"/>
      <c r="K195" s="66"/>
      <c r="L195" s="66"/>
      <c r="R195" s="85" t="s">
        <v>1202</v>
      </c>
      <c r="S195" s="85" t="s">
        <v>669</v>
      </c>
      <c r="T195" s="85" t="s">
        <v>1203</v>
      </c>
      <c r="U195" t="str">
        <f t="shared" si="9"/>
        <v>YEU Europäischer Euro</v>
      </c>
    </row>
    <row r="196" spans="1:21">
      <c r="A196" s="109">
        <v>186</v>
      </c>
      <c r="B196" s="66" t="s">
        <v>349</v>
      </c>
      <c r="C196" s="110" t="s">
        <v>223</v>
      </c>
      <c r="D196" s="66"/>
      <c r="E196" s="66"/>
      <c r="F196" s="66"/>
      <c r="G196" s="66"/>
      <c r="H196" s="66"/>
      <c r="I196" s="66"/>
      <c r="J196" s="66"/>
      <c r="K196" s="66"/>
      <c r="L196" s="66"/>
      <c r="R196" s="85" t="s">
        <v>1204</v>
      </c>
      <c r="S196" s="85" t="s">
        <v>1205</v>
      </c>
      <c r="T196" s="85" t="s">
        <v>1206</v>
      </c>
      <c r="U196" t="str">
        <f t="shared" si="9"/>
        <v>YUM Jugoslawische neue Dinar</v>
      </c>
    </row>
    <row r="197" spans="1:21">
      <c r="A197" s="109">
        <v>187</v>
      </c>
      <c r="B197" s="66" t="s">
        <v>350</v>
      </c>
      <c r="C197" s="110" t="s">
        <v>224</v>
      </c>
      <c r="D197" s="66"/>
      <c r="E197" s="66"/>
      <c r="F197" s="66"/>
      <c r="G197" s="66"/>
      <c r="H197" s="66"/>
      <c r="I197" s="66"/>
      <c r="J197" s="66"/>
      <c r="K197" s="66"/>
      <c r="L197" s="66"/>
      <c r="R197" s="85" t="s">
        <v>1207</v>
      </c>
      <c r="S197" s="85" t="s">
        <v>1208</v>
      </c>
      <c r="T197" s="85" t="s">
        <v>1209</v>
      </c>
      <c r="U197" t="str">
        <f t="shared" si="9"/>
        <v>ZAR Südafrikanische Rand</v>
      </c>
    </row>
    <row r="198" spans="1:21" ht="51">
      <c r="A198" s="109">
        <v>188</v>
      </c>
      <c r="B198" s="66" t="s">
        <v>351</v>
      </c>
      <c r="C198" s="66" t="s">
        <v>225</v>
      </c>
      <c r="D198" s="66"/>
      <c r="E198" s="66"/>
      <c r="F198" s="66"/>
      <c r="G198" s="66"/>
      <c r="H198" s="66"/>
      <c r="I198" s="66"/>
      <c r="J198" s="66"/>
      <c r="K198" s="66"/>
      <c r="L198" s="66"/>
      <c r="R198" s="85" t="s">
        <v>1210</v>
      </c>
      <c r="S198" s="85" t="s">
        <v>1211</v>
      </c>
      <c r="T198" s="85" t="s">
        <v>1212</v>
      </c>
      <c r="U198" t="str">
        <f t="shared" si="9"/>
        <v>ZMK Zambianische Kwacha</v>
      </c>
    </row>
    <row r="199" spans="1:21">
      <c r="A199" s="109">
        <v>189</v>
      </c>
      <c r="B199" s="66" t="s">
        <v>352</v>
      </c>
      <c r="C199" s="66" t="s">
        <v>226</v>
      </c>
      <c r="D199" s="66"/>
      <c r="E199" s="66"/>
      <c r="F199" s="66"/>
      <c r="G199" s="66"/>
      <c r="H199" s="66"/>
      <c r="I199" s="66"/>
      <c r="J199" s="66"/>
      <c r="K199" s="66"/>
      <c r="L199" s="66"/>
      <c r="R199" s="85" t="s">
        <v>1213</v>
      </c>
      <c r="S199" s="85" t="s">
        <v>1214</v>
      </c>
      <c r="T199" s="85" t="s">
        <v>1214</v>
      </c>
      <c r="U199" t="str">
        <f t="shared" si="9"/>
        <v>ZRN Zaire</v>
      </c>
    </row>
    <row r="200" spans="1:21" ht="28.5" customHeight="1">
      <c r="A200" s="109">
        <v>190</v>
      </c>
      <c r="B200" s="110" t="s">
        <v>1364</v>
      </c>
      <c r="C200" s="110" t="s">
        <v>1365</v>
      </c>
      <c r="D200" s="66"/>
      <c r="E200" s="66"/>
      <c r="F200" s="66"/>
      <c r="G200" s="66"/>
      <c r="H200" s="66"/>
      <c r="I200" s="66"/>
      <c r="J200" s="66"/>
      <c r="K200" s="66"/>
      <c r="L200" s="66"/>
      <c r="R200" s="85" t="s">
        <v>1215</v>
      </c>
      <c r="S200" s="85" t="s">
        <v>1216</v>
      </c>
      <c r="T200" s="85" t="s">
        <v>1217</v>
      </c>
      <c r="U200" t="str">
        <f t="shared" si="9"/>
        <v>ZWD Simbabwe Dollar</v>
      </c>
    </row>
    <row r="201" spans="1:21">
      <c r="A201" s="109">
        <v>191</v>
      </c>
      <c r="B201" s="110" t="s">
        <v>588</v>
      </c>
      <c r="C201" s="110" t="s">
        <v>230</v>
      </c>
      <c r="D201" s="66"/>
      <c r="E201" s="66"/>
      <c r="F201" s="66"/>
      <c r="G201" s="66"/>
      <c r="H201" s="66"/>
      <c r="I201" s="66"/>
      <c r="J201" s="66"/>
      <c r="K201" s="66"/>
      <c r="L201" s="66"/>
    </row>
    <row r="202" spans="1:21">
      <c r="A202" s="109">
        <v>192</v>
      </c>
      <c r="B202" s="204" t="s">
        <v>239</v>
      </c>
      <c r="C202" s="110" t="s">
        <v>236</v>
      </c>
      <c r="D202" s="66"/>
      <c r="E202" s="66"/>
      <c r="F202" s="66"/>
      <c r="G202" s="66"/>
      <c r="H202" s="66"/>
      <c r="I202" s="66"/>
      <c r="J202" s="66"/>
      <c r="K202" s="66"/>
      <c r="L202" s="66"/>
    </row>
    <row r="203" spans="1:21">
      <c r="A203" s="109">
        <v>193</v>
      </c>
      <c r="B203" s="204" t="s">
        <v>240</v>
      </c>
      <c r="C203" s="110" t="s">
        <v>237</v>
      </c>
      <c r="D203" s="66"/>
      <c r="E203" s="66"/>
      <c r="F203" s="66"/>
      <c r="G203" s="66"/>
      <c r="H203" s="66"/>
      <c r="I203" s="66"/>
      <c r="J203" s="66"/>
      <c r="K203" s="66"/>
      <c r="L203" s="66"/>
    </row>
    <row r="204" spans="1:21">
      <c r="A204" s="109">
        <v>194</v>
      </c>
      <c r="B204" s="204" t="s">
        <v>241</v>
      </c>
      <c r="C204" s="110" t="s">
        <v>238</v>
      </c>
      <c r="D204" s="66"/>
      <c r="E204" s="66"/>
      <c r="F204" s="66"/>
      <c r="G204" s="66"/>
      <c r="H204" s="66"/>
      <c r="I204" s="66"/>
      <c r="J204" s="66"/>
      <c r="K204" s="66"/>
      <c r="L204" s="66"/>
    </row>
    <row r="205" spans="1:21">
      <c r="A205" s="109">
        <v>195</v>
      </c>
      <c r="B205" s="110" t="s">
        <v>385</v>
      </c>
      <c r="C205" s="110" t="s">
        <v>384</v>
      </c>
      <c r="D205" s="66"/>
      <c r="E205" s="66"/>
      <c r="F205" s="66"/>
      <c r="G205" s="66"/>
      <c r="H205" s="66"/>
      <c r="I205" s="66"/>
      <c r="J205" s="66"/>
      <c r="K205" s="66"/>
      <c r="L205" s="66"/>
    </row>
    <row r="206" spans="1:21">
      <c r="A206" s="127">
        <v>196</v>
      </c>
      <c r="B206" s="110" t="s">
        <v>1366</v>
      </c>
      <c r="C206" s="110" t="s">
        <v>1367</v>
      </c>
      <c r="D206" s="66"/>
      <c r="E206" s="66"/>
      <c r="F206" s="66"/>
      <c r="G206" s="66"/>
      <c r="H206" s="66"/>
      <c r="I206" s="66"/>
      <c r="J206" s="66"/>
      <c r="K206" s="66"/>
      <c r="L206" s="66"/>
    </row>
    <row r="207" spans="1:21">
      <c r="A207" s="109">
        <v>197</v>
      </c>
      <c r="B207" s="110" t="s">
        <v>387</v>
      </c>
      <c r="C207" s="66" t="s">
        <v>386</v>
      </c>
      <c r="D207" s="66"/>
      <c r="E207" s="66"/>
      <c r="F207" s="66"/>
      <c r="G207" s="66"/>
      <c r="H207" s="66"/>
      <c r="I207" s="66"/>
      <c r="J207" s="66"/>
      <c r="K207" s="66"/>
      <c r="L207" s="66"/>
    </row>
    <row r="208" spans="1:21">
      <c r="A208" s="109">
        <v>198</v>
      </c>
      <c r="B208" s="110" t="s">
        <v>642</v>
      </c>
      <c r="C208" s="110" t="s">
        <v>643</v>
      </c>
      <c r="D208" s="66"/>
      <c r="E208" s="66"/>
      <c r="F208" s="66"/>
      <c r="G208" s="66"/>
      <c r="H208" s="66"/>
      <c r="I208" s="66"/>
      <c r="J208" s="66"/>
      <c r="K208" s="66"/>
      <c r="L208" s="66"/>
    </row>
    <row r="209" spans="1:12">
      <c r="A209" s="109">
        <v>199</v>
      </c>
      <c r="B209" s="110" t="s">
        <v>658</v>
      </c>
      <c r="C209" s="110" t="s">
        <v>659</v>
      </c>
      <c r="D209" s="66"/>
      <c r="E209" s="66"/>
      <c r="F209" s="66"/>
      <c r="G209" s="66"/>
      <c r="H209" s="66"/>
      <c r="I209" s="66"/>
      <c r="J209" s="66"/>
      <c r="K209" s="66"/>
      <c r="L209" s="66"/>
    </row>
    <row r="210" spans="1:12">
      <c r="A210" s="109">
        <v>200</v>
      </c>
      <c r="B210" s="110" t="s">
        <v>1244</v>
      </c>
      <c r="C210" s="110" t="s">
        <v>1245</v>
      </c>
      <c r="D210" s="66"/>
      <c r="E210" s="66"/>
      <c r="F210" s="66"/>
      <c r="G210" s="66"/>
      <c r="H210" s="66"/>
      <c r="I210" s="66"/>
      <c r="J210" s="66"/>
      <c r="K210" s="66"/>
      <c r="L210" s="66"/>
    </row>
    <row r="211" spans="1:12">
      <c r="A211" s="109">
        <v>201</v>
      </c>
      <c r="B211" s="110" t="s">
        <v>389</v>
      </c>
      <c r="C211" s="66" t="s">
        <v>388</v>
      </c>
      <c r="D211" s="66"/>
      <c r="E211" s="66"/>
      <c r="F211" s="66"/>
      <c r="G211" s="66"/>
      <c r="H211" s="66"/>
      <c r="I211" s="66"/>
      <c r="J211" s="66"/>
      <c r="K211" s="66"/>
      <c r="L211" s="66"/>
    </row>
    <row r="212" spans="1:12">
      <c r="A212" s="109">
        <v>202</v>
      </c>
      <c r="B212" s="110" t="s">
        <v>624</v>
      </c>
      <c r="C212" s="110" t="s">
        <v>626</v>
      </c>
      <c r="D212" s="66"/>
      <c r="E212" s="66"/>
      <c r="F212" s="66"/>
      <c r="G212" s="66"/>
      <c r="H212" s="66"/>
      <c r="I212" s="66"/>
      <c r="J212" s="66"/>
      <c r="K212" s="66"/>
      <c r="L212" s="66"/>
    </row>
    <row r="213" spans="1:12">
      <c r="A213" s="109">
        <v>203</v>
      </c>
      <c r="B213" s="66" t="s">
        <v>390</v>
      </c>
      <c r="C213" s="66" t="s">
        <v>284</v>
      </c>
      <c r="D213" s="66"/>
      <c r="E213" s="66"/>
      <c r="F213" s="66"/>
      <c r="G213" s="66"/>
      <c r="H213" s="66"/>
      <c r="I213" s="66"/>
      <c r="J213" s="66"/>
      <c r="K213" s="66"/>
      <c r="L213" s="66"/>
    </row>
    <row r="214" spans="1:12">
      <c r="A214" s="109">
        <v>204</v>
      </c>
      <c r="B214" s="66" t="s">
        <v>392</v>
      </c>
      <c r="C214" s="66" t="s">
        <v>392</v>
      </c>
      <c r="D214" s="66"/>
      <c r="E214" s="66"/>
      <c r="F214" s="66"/>
      <c r="G214" s="66"/>
      <c r="H214" s="66"/>
      <c r="I214" s="66"/>
      <c r="J214" s="66"/>
      <c r="K214" s="66"/>
      <c r="L214" s="66"/>
    </row>
    <row r="215" spans="1:12">
      <c r="A215" s="109">
        <v>205</v>
      </c>
      <c r="B215" s="110" t="s">
        <v>579</v>
      </c>
      <c r="C215" s="110" t="s">
        <v>578</v>
      </c>
      <c r="D215" s="66"/>
      <c r="E215" s="66"/>
      <c r="F215" s="66"/>
      <c r="G215" s="66"/>
      <c r="H215" s="66"/>
      <c r="I215" s="66"/>
      <c r="J215" s="66"/>
      <c r="K215" s="66"/>
      <c r="L215" s="66"/>
    </row>
    <row r="216" spans="1:12">
      <c r="A216" s="109">
        <v>206</v>
      </c>
      <c r="B216" s="110" t="s">
        <v>616</v>
      </c>
      <c r="C216" s="110" t="s">
        <v>617</v>
      </c>
      <c r="D216" s="66"/>
      <c r="E216" s="66"/>
      <c r="F216" s="66"/>
      <c r="G216" s="66"/>
      <c r="H216" s="66"/>
      <c r="I216" s="66"/>
      <c r="J216" s="66"/>
      <c r="K216" s="66"/>
      <c r="L216" s="66"/>
    </row>
    <row r="217" spans="1:12">
      <c r="A217" s="109">
        <v>207</v>
      </c>
      <c r="B217" s="110" t="s">
        <v>622</v>
      </c>
      <c r="C217" s="110" t="s">
        <v>623</v>
      </c>
      <c r="D217" s="66"/>
      <c r="E217" s="66"/>
      <c r="F217" s="66"/>
      <c r="G217" s="66"/>
      <c r="H217" s="66"/>
      <c r="I217" s="66"/>
      <c r="J217" s="66"/>
      <c r="K217" s="66"/>
      <c r="L217" s="66"/>
    </row>
    <row r="218" spans="1:12">
      <c r="A218" s="109">
        <v>208</v>
      </c>
      <c r="B218" s="110" t="s">
        <v>581</v>
      </c>
      <c r="C218" s="110" t="s">
        <v>580</v>
      </c>
      <c r="D218" s="66"/>
      <c r="E218" s="66"/>
      <c r="F218" s="66"/>
      <c r="G218" s="66"/>
      <c r="H218" s="66"/>
      <c r="I218" s="66"/>
      <c r="J218" s="66"/>
      <c r="K218" s="66"/>
      <c r="L218" s="66"/>
    </row>
    <row r="219" spans="1:12">
      <c r="A219" s="109">
        <v>209</v>
      </c>
      <c r="B219" s="110" t="s">
        <v>583</v>
      </c>
      <c r="C219" s="110" t="s">
        <v>582</v>
      </c>
      <c r="D219" s="66"/>
      <c r="E219" s="66"/>
      <c r="F219" s="66"/>
      <c r="G219" s="66"/>
      <c r="H219" s="66"/>
      <c r="I219" s="66"/>
      <c r="J219" s="66"/>
      <c r="K219" s="66"/>
      <c r="L219" s="66"/>
    </row>
    <row r="220" spans="1:12">
      <c r="A220" s="109">
        <v>210</v>
      </c>
      <c r="B220" s="110" t="s">
        <v>585</v>
      </c>
      <c r="C220" s="110" t="s">
        <v>584</v>
      </c>
      <c r="D220" s="66"/>
      <c r="E220" s="66"/>
      <c r="F220" s="66"/>
      <c r="G220" s="66"/>
      <c r="H220" s="66"/>
      <c r="I220" s="66"/>
      <c r="J220" s="66"/>
      <c r="K220" s="66"/>
      <c r="L220" s="66"/>
    </row>
    <row r="221" spans="1:12">
      <c r="A221" s="109">
        <v>211</v>
      </c>
      <c r="B221" s="110" t="s">
        <v>587</v>
      </c>
      <c r="C221" s="66" t="s">
        <v>586</v>
      </c>
      <c r="D221" s="66"/>
      <c r="E221" s="66"/>
      <c r="F221" s="66"/>
      <c r="G221" s="66"/>
      <c r="H221" s="66"/>
      <c r="I221" s="66"/>
      <c r="J221" s="66"/>
      <c r="K221" s="66"/>
      <c r="L221" s="66"/>
    </row>
    <row r="222" spans="1:12">
      <c r="A222" s="109">
        <v>212</v>
      </c>
      <c r="B222" s="125" t="s">
        <v>1357</v>
      </c>
      <c r="C222" s="125" t="s">
        <v>1358</v>
      </c>
      <c r="D222" s="66"/>
      <c r="E222" s="66"/>
      <c r="F222" s="66"/>
      <c r="G222" s="66"/>
      <c r="H222" s="66"/>
      <c r="I222" s="66"/>
      <c r="J222" s="66"/>
      <c r="K222" s="66"/>
      <c r="L222" s="66"/>
    </row>
    <row r="223" spans="1:12">
      <c r="A223" s="109">
        <v>213</v>
      </c>
      <c r="B223" s="125" t="s">
        <v>591</v>
      </c>
      <c r="C223" s="125" t="s">
        <v>592</v>
      </c>
      <c r="D223" s="66"/>
      <c r="E223" s="66"/>
      <c r="F223" s="66"/>
      <c r="G223" s="66"/>
      <c r="H223" s="66"/>
      <c r="I223" s="66"/>
      <c r="J223" s="66"/>
      <c r="K223" s="66"/>
      <c r="L223" s="66"/>
    </row>
    <row r="224" spans="1:12">
      <c r="A224" s="109">
        <v>214</v>
      </c>
      <c r="B224" s="125" t="s">
        <v>590</v>
      </c>
      <c r="C224" s="125" t="s">
        <v>589</v>
      </c>
      <c r="D224" s="66"/>
      <c r="E224" s="66"/>
      <c r="F224" s="66"/>
      <c r="G224" s="66"/>
      <c r="H224" s="66"/>
      <c r="I224" s="66"/>
      <c r="J224" s="66"/>
      <c r="K224" s="66"/>
      <c r="L224" s="66"/>
    </row>
    <row r="225" spans="1:12">
      <c r="A225" s="109">
        <v>215</v>
      </c>
      <c r="B225" s="125" t="s">
        <v>594</v>
      </c>
      <c r="C225" s="125" t="s">
        <v>593</v>
      </c>
      <c r="D225" s="66"/>
      <c r="E225" s="66"/>
      <c r="F225" s="66"/>
      <c r="G225" s="66"/>
      <c r="H225" s="66"/>
      <c r="I225" s="66"/>
      <c r="J225" s="66"/>
      <c r="K225" s="66"/>
      <c r="L225" s="66"/>
    </row>
    <row r="226" spans="1:12">
      <c r="A226" s="109">
        <v>216</v>
      </c>
      <c r="B226" s="125" t="s">
        <v>1259</v>
      </c>
      <c r="C226" s="125" t="s">
        <v>1260</v>
      </c>
      <c r="D226" s="66"/>
      <c r="E226" s="66"/>
      <c r="F226" s="66"/>
      <c r="G226" s="66"/>
      <c r="H226" s="66"/>
      <c r="I226" s="66"/>
      <c r="J226" s="66"/>
      <c r="K226" s="66"/>
      <c r="L226" s="66"/>
    </row>
    <row r="227" spans="1:12">
      <c r="A227" s="109">
        <v>217</v>
      </c>
      <c r="B227" s="125" t="s">
        <v>595</v>
      </c>
      <c r="C227" s="125" t="s">
        <v>576</v>
      </c>
      <c r="D227" s="66"/>
      <c r="E227" s="66"/>
      <c r="F227" s="66"/>
      <c r="G227" s="66"/>
      <c r="H227" s="66"/>
      <c r="I227" s="66"/>
      <c r="J227" s="66"/>
      <c r="K227" s="66"/>
      <c r="L227" s="66"/>
    </row>
    <row r="228" spans="1:12">
      <c r="A228" s="109">
        <v>218</v>
      </c>
      <c r="B228" s="125" t="s">
        <v>598</v>
      </c>
      <c r="C228" s="125" t="s">
        <v>577</v>
      </c>
      <c r="D228" s="66"/>
      <c r="E228" s="66"/>
      <c r="F228" s="66"/>
      <c r="G228" s="66"/>
      <c r="H228" s="66"/>
      <c r="I228" s="66"/>
      <c r="J228" s="66"/>
      <c r="K228" s="66"/>
      <c r="L228" s="66"/>
    </row>
    <row r="229" spans="1:12">
      <c r="A229" s="109">
        <v>219</v>
      </c>
      <c r="B229" s="125" t="s">
        <v>602</v>
      </c>
      <c r="C229" s="125" t="s">
        <v>599</v>
      </c>
      <c r="D229" s="66"/>
      <c r="E229" s="66"/>
      <c r="F229" s="66"/>
      <c r="G229" s="66"/>
      <c r="H229" s="66"/>
      <c r="I229" s="66"/>
      <c r="J229" s="66"/>
      <c r="K229" s="66"/>
      <c r="L229" s="66"/>
    </row>
    <row r="230" spans="1:12">
      <c r="A230" s="109">
        <v>220</v>
      </c>
      <c r="B230" s="125" t="s">
        <v>601</v>
      </c>
      <c r="C230" s="125" t="s">
        <v>600</v>
      </c>
      <c r="D230" s="66"/>
      <c r="E230" s="66"/>
      <c r="F230" s="66"/>
      <c r="G230" s="66"/>
      <c r="H230" s="66"/>
      <c r="I230" s="66"/>
      <c r="J230" s="66"/>
      <c r="K230" s="66"/>
      <c r="L230" s="66"/>
    </row>
    <row r="231" spans="1:12">
      <c r="A231" s="109">
        <v>221</v>
      </c>
      <c r="B231" s="125" t="s">
        <v>604</v>
      </c>
      <c r="C231" s="125" t="s">
        <v>603</v>
      </c>
      <c r="D231" s="66"/>
      <c r="E231" s="66"/>
      <c r="F231" s="66"/>
      <c r="G231" s="66"/>
      <c r="H231" s="66"/>
      <c r="I231" s="66"/>
      <c r="J231" s="66"/>
      <c r="K231" s="66"/>
      <c r="L231" s="66"/>
    </row>
    <row r="232" spans="1:12">
      <c r="A232" s="109">
        <v>222</v>
      </c>
      <c r="B232" s="125" t="s">
        <v>605</v>
      </c>
      <c r="C232" s="125" t="s">
        <v>606</v>
      </c>
      <c r="D232" s="66"/>
      <c r="E232" s="66"/>
      <c r="F232" s="66"/>
      <c r="G232" s="66"/>
      <c r="H232" s="66"/>
      <c r="I232" s="66"/>
      <c r="J232" s="66"/>
      <c r="K232" s="66"/>
      <c r="L232" s="66"/>
    </row>
    <row r="233" spans="1:12">
      <c r="A233" s="109">
        <v>223</v>
      </c>
      <c r="B233" s="125" t="s">
        <v>607</v>
      </c>
      <c r="C233" s="125" t="s">
        <v>285</v>
      </c>
      <c r="D233" s="66"/>
      <c r="E233" s="66"/>
      <c r="F233" s="66"/>
      <c r="G233" s="66"/>
      <c r="H233" s="66"/>
      <c r="I233" s="66"/>
      <c r="J233" s="66"/>
      <c r="K233" s="66"/>
      <c r="L233" s="66"/>
    </row>
    <row r="234" spans="1:12">
      <c r="A234" s="109">
        <v>224</v>
      </c>
      <c r="B234" s="125" t="s">
        <v>608</v>
      </c>
      <c r="C234" s="125" t="s">
        <v>286</v>
      </c>
      <c r="D234" s="66"/>
      <c r="E234" s="66"/>
      <c r="F234" s="66"/>
      <c r="G234" s="66"/>
      <c r="H234" s="66"/>
      <c r="I234" s="66"/>
      <c r="J234" s="66"/>
      <c r="K234" s="66"/>
      <c r="L234" s="66"/>
    </row>
    <row r="235" spans="1:12" ht="38.25">
      <c r="A235" s="109">
        <v>225</v>
      </c>
      <c r="B235" s="125" t="s">
        <v>609</v>
      </c>
      <c r="C235" s="125" t="s">
        <v>610</v>
      </c>
      <c r="D235" s="66"/>
      <c r="E235" s="66"/>
      <c r="F235" s="66"/>
      <c r="G235" s="66"/>
      <c r="H235" s="66"/>
      <c r="I235" s="66"/>
      <c r="J235" s="66"/>
      <c r="K235" s="66"/>
      <c r="L235" s="66"/>
    </row>
    <row r="236" spans="1:12">
      <c r="A236" s="109">
        <v>226</v>
      </c>
      <c r="B236" s="125" t="s">
        <v>1231</v>
      </c>
      <c r="C236" s="125" t="s">
        <v>1232</v>
      </c>
      <c r="D236" s="66"/>
      <c r="E236" s="66"/>
      <c r="F236" s="66"/>
      <c r="G236" s="66"/>
      <c r="H236" s="66"/>
      <c r="I236" s="66"/>
      <c r="J236" s="66"/>
      <c r="K236" s="66"/>
      <c r="L236" s="66"/>
    </row>
    <row r="237" spans="1:12">
      <c r="A237" s="109">
        <v>227</v>
      </c>
      <c r="B237" s="125" t="s">
        <v>613</v>
      </c>
      <c r="C237" s="125" t="s">
        <v>612</v>
      </c>
      <c r="D237" s="66"/>
      <c r="E237" s="66"/>
      <c r="F237" s="66"/>
      <c r="G237" s="66"/>
      <c r="H237" s="66"/>
      <c r="I237" s="66"/>
      <c r="J237" s="66"/>
      <c r="K237" s="66"/>
      <c r="L237" s="66"/>
    </row>
    <row r="238" spans="1:12">
      <c r="A238" s="109">
        <v>228</v>
      </c>
      <c r="B238" s="125" t="s">
        <v>621</v>
      </c>
      <c r="C238" s="125" t="s">
        <v>620</v>
      </c>
      <c r="D238" s="66"/>
      <c r="E238" s="66"/>
      <c r="F238" s="66"/>
      <c r="G238" s="66"/>
      <c r="H238" s="66"/>
      <c r="I238" s="66"/>
      <c r="J238" s="66"/>
      <c r="K238" s="66"/>
      <c r="L238" s="66"/>
    </row>
    <row r="239" spans="1:12">
      <c r="A239" s="109">
        <v>229</v>
      </c>
      <c r="B239" s="125" t="s">
        <v>625</v>
      </c>
      <c r="C239" s="125" t="s">
        <v>627</v>
      </c>
      <c r="D239" s="66"/>
      <c r="E239" s="66"/>
      <c r="F239" s="66"/>
      <c r="G239" s="66"/>
      <c r="H239" s="66"/>
      <c r="I239" s="66"/>
      <c r="J239" s="66"/>
      <c r="K239" s="66"/>
      <c r="L239" s="66"/>
    </row>
    <row r="240" spans="1:12">
      <c r="A240" s="109">
        <v>230</v>
      </c>
      <c r="B240" s="125" t="s">
        <v>629</v>
      </c>
      <c r="C240" s="125" t="s">
        <v>628</v>
      </c>
      <c r="D240" s="66"/>
      <c r="E240" s="66"/>
      <c r="F240" s="66"/>
      <c r="G240" s="66"/>
      <c r="H240" s="66"/>
      <c r="I240" s="66"/>
      <c r="J240" s="66"/>
      <c r="K240" s="66"/>
      <c r="L240" s="66"/>
    </row>
    <row r="241" spans="1:12">
      <c r="A241" s="109">
        <v>231</v>
      </c>
      <c r="B241" s="125" t="s">
        <v>639</v>
      </c>
      <c r="C241" s="125" t="s">
        <v>638</v>
      </c>
      <c r="D241" s="66"/>
      <c r="E241" s="66"/>
      <c r="F241" s="66"/>
      <c r="G241" s="66"/>
      <c r="H241" s="66"/>
      <c r="I241" s="66"/>
      <c r="J241" s="66"/>
      <c r="K241" s="66"/>
      <c r="L241" s="66"/>
    </row>
    <row r="242" spans="1:12">
      <c r="A242" s="109">
        <v>232</v>
      </c>
      <c r="B242" s="125" t="s">
        <v>633</v>
      </c>
      <c r="C242" s="125" t="s">
        <v>630</v>
      </c>
      <c r="D242" s="66"/>
      <c r="E242" s="66"/>
      <c r="F242" s="66"/>
      <c r="G242" s="66"/>
      <c r="H242" s="66"/>
      <c r="I242" s="66"/>
      <c r="J242" s="66"/>
      <c r="K242" s="66"/>
      <c r="L242" s="66"/>
    </row>
    <row r="243" spans="1:12">
      <c r="A243" s="109">
        <v>233</v>
      </c>
      <c r="B243" s="125" t="s">
        <v>634</v>
      </c>
      <c r="C243" s="125" t="s">
        <v>631</v>
      </c>
      <c r="D243" s="66"/>
      <c r="E243" s="66"/>
      <c r="F243" s="66"/>
      <c r="G243" s="66"/>
      <c r="H243" s="66"/>
      <c r="I243" s="66"/>
      <c r="J243" s="66"/>
      <c r="K243" s="66"/>
      <c r="L243" s="66"/>
    </row>
    <row r="244" spans="1:12">
      <c r="A244" s="109">
        <v>234</v>
      </c>
      <c r="B244" s="125" t="s">
        <v>635</v>
      </c>
      <c r="C244" s="125" t="s">
        <v>632</v>
      </c>
      <c r="D244" s="66"/>
      <c r="E244" s="66"/>
      <c r="F244" s="66"/>
      <c r="G244" s="66"/>
      <c r="H244" s="66"/>
      <c r="I244" s="66"/>
      <c r="J244" s="66"/>
      <c r="K244" s="66"/>
      <c r="L244" s="66"/>
    </row>
    <row r="245" spans="1:12">
      <c r="A245" s="109">
        <v>235</v>
      </c>
      <c r="B245" s="125" t="s">
        <v>641</v>
      </c>
      <c r="C245" s="125" t="s">
        <v>640</v>
      </c>
      <c r="D245" s="66"/>
      <c r="E245" s="66"/>
      <c r="F245" s="66"/>
      <c r="G245" s="66"/>
      <c r="H245" s="66"/>
      <c r="I245" s="66"/>
      <c r="J245" s="66"/>
      <c r="K245" s="66"/>
      <c r="L245" s="66"/>
    </row>
    <row r="246" spans="1:12">
      <c r="A246" s="109">
        <v>236</v>
      </c>
      <c r="B246" s="125" t="s">
        <v>637</v>
      </c>
      <c r="C246" s="125" t="s">
        <v>287</v>
      </c>
      <c r="D246" s="66"/>
      <c r="E246" s="66"/>
      <c r="F246" s="66"/>
      <c r="G246" s="66"/>
      <c r="H246" s="66"/>
      <c r="I246" s="66"/>
      <c r="J246" s="66"/>
      <c r="K246" s="66"/>
      <c r="L246" s="66"/>
    </row>
    <row r="247" spans="1:12">
      <c r="A247" s="109">
        <v>237</v>
      </c>
      <c r="B247" s="125" t="s">
        <v>645</v>
      </c>
      <c r="C247" s="125" t="s">
        <v>644</v>
      </c>
      <c r="D247" s="66"/>
      <c r="E247" s="66"/>
      <c r="F247" s="66"/>
      <c r="G247" s="66"/>
      <c r="H247" s="66"/>
      <c r="I247" s="66"/>
      <c r="J247" s="66"/>
      <c r="K247" s="66"/>
      <c r="L247" s="66"/>
    </row>
    <row r="248" spans="1:12">
      <c r="A248" s="109">
        <v>238</v>
      </c>
      <c r="B248" s="125" t="s">
        <v>647</v>
      </c>
      <c r="C248" s="125" t="s">
        <v>646</v>
      </c>
      <c r="D248" s="66"/>
      <c r="E248" s="66"/>
      <c r="F248" s="66"/>
      <c r="G248" s="66"/>
      <c r="H248" s="66"/>
      <c r="I248" s="66"/>
      <c r="J248" s="66"/>
      <c r="K248" s="66"/>
      <c r="L248" s="66"/>
    </row>
    <row r="249" spans="1:12" ht="25.5">
      <c r="A249" s="109">
        <v>239</v>
      </c>
      <c r="B249" s="125" t="s">
        <v>662</v>
      </c>
      <c r="C249" s="125" t="s">
        <v>663</v>
      </c>
      <c r="D249" s="66"/>
      <c r="E249" s="66"/>
      <c r="F249" s="66"/>
      <c r="G249" s="66"/>
      <c r="H249" s="66"/>
      <c r="I249" s="66"/>
      <c r="J249" s="66"/>
      <c r="K249" s="66"/>
      <c r="L249" s="66"/>
    </row>
    <row r="250" spans="1:12">
      <c r="A250" s="109">
        <v>240</v>
      </c>
      <c r="B250" s="125" t="s">
        <v>649</v>
      </c>
      <c r="C250" s="125" t="s">
        <v>648</v>
      </c>
      <c r="D250" s="66"/>
      <c r="E250" s="66"/>
      <c r="F250" s="66"/>
      <c r="G250" s="66"/>
      <c r="H250" s="66"/>
      <c r="I250" s="66"/>
      <c r="J250" s="66"/>
      <c r="K250" s="66"/>
      <c r="L250" s="66"/>
    </row>
    <row r="251" spans="1:12" ht="25.5">
      <c r="A251" s="109">
        <v>241</v>
      </c>
      <c r="B251" s="125" t="s">
        <v>661</v>
      </c>
      <c r="C251" s="125" t="s">
        <v>660</v>
      </c>
      <c r="D251" s="66"/>
      <c r="E251" s="66"/>
      <c r="F251" s="66"/>
      <c r="G251" s="66"/>
      <c r="H251" s="66"/>
      <c r="I251" s="66"/>
      <c r="J251" s="66"/>
      <c r="K251" s="66"/>
      <c r="L251" s="66"/>
    </row>
    <row r="252" spans="1:12">
      <c r="A252" s="109">
        <v>242</v>
      </c>
      <c r="B252" s="125" t="s">
        <v>651</v>
      </c>
      <c r="C252" s="125" t="s">
        <v>650</v>
      </c>
      <c r="D252" s="66"/>
      <c r="E252" s="66"/>
      <c r="F252" s="66"/>
      <c r="G252" s="66"/>
      <c r="H252" s="66"/>
      <c r="I252" s="66"/>
      <c r="J252" s="66"/>
      <c r="K252" s="66"/>
      <c r="L252" s="66"/>
    </row>
    <row r="253" spans="1:12">
      <c r="A253" s="109">
        <v>243</v>
      </c>
      <c r="B253" s="125" t="s">
        <v>654</v>
      </c>
      <c r="C253" s="125" t="s">
        <v>652</v>
      </c>
      <c r="D253" s="66"/>
      <c r="E253" s="66"/>
      <c r="F253" s="66"/>
      <c r="G253" s="66"/>
      <c r="H253" s="66"/>
      <c r="I253" s="66"/>
      <c r="J253" s="66"/>
      <c r="K253" s="66"/>
      <c r="L253" s="66"/>
    </row>
    <row r="254" spans="1:12">
      <c r="A254" s="109">
        <v>244</v>
      </c>
      <c r="B254" s="125" t="s">
        <v>655</v>
      </c>
      <c r="C254" s="125" t="s">
        <v>653</v>
      </c>
      <c r="D254" s="66"/>
      <c r="E254" s="66"/>
      <c r="F254" s="66"/>
      <c r="G254" s="66"/>
      <c r="H254" s="66"/>
      <c r="I254" s="66"/>
      <c r="J254" s="66"/>
      <c r="K254" s="66"/>
      <c r="L254" s="66"/>
    </row>
    <row r="255" spans="1:12">
      <c r="A255" s="109">
        <v>245</v>
      </c>
      <c r="B255" s="125" t="s">
        <v>656</v>
      </c>
      <c r="C255" s="125" t="s">
        <v>657</v>
      </c>
      <c r="D255" s="66"/>
      <c r="E255" s="66"/>
      <c r="F255" s="66"/>
      <c r="G255" s="66"/>
      <c r="H255" s="66"/>
      <c r="I255" s="66"/>
      <c r="J255" s="66"/>
      <c r="K255" s="66"/>
      <c r="L255" s="66"/>
    </row>
    <row r="256" spans="1:12">
      <c r="A256" s="109">
        <v>246</v>
      </c>
      <c r="B256" s="125" t="s">
        <v>667</v>
      </c>
      <c r="C256" s="125" t="s">
        <v>666</v>
      </c>
      <c r="D256" s="66"/>
      <c r="E256" s="66"/>
      <c r="F256" s="66"/>
      <c r="G256" s="66"/>
      <c r="H256" s="66"/>
      <c r="I256" s="66"/>
      <c r="J256" s="66"/>
      <c r="K256" s="66"/>
      <c r="L256" s="66"/>
    </row>
    <row r="257" spans="1:12">
      <c r="A257" s="109">
        <v>247</v>
      </c>
      <c r="B257" s="125" t="s">
        <v>1247</v>
      </c>
      <c r="C257" s="125" t="s">
        <v>1246</v>
      </c>
      <c r="D257" s="66"/>
      <c r="E257" s="66"/>
      <c r="F257" s="66"/>
      <c r="G257" s="66"/>
      <c r="H257" s="66"/>
      <c r="I257" s="66"/>
      <c r="J257" s="66"/>
      <c r="K257" s="66"/>
      <c r="L257" s="66"/>
    </row>
    <row r="258" spans="1:12">
      <c r="A258" s="109">
        <v>248</v>
      </c>
      <c r="B258" s="125" t="s">
        <v>1261</v>
      </c>
      <c r="C258" s="125" t="s">
        <v>1262</v>
      </c>
      <c r="D258" s="66"/>
      <c r="E258" s="66"/>
      <c r="F258" s="66"/>
      <c r="G258" s="66"/>
      <c r="H258" s="66"/>
      <c r="I258" s="66"/>
      <c r="J258" s="66"/>
      <c r="K258" s="66"/>
      <c r="L258" s="66"/>
    </row>
    <row r="259" spans="1:12">
      <c r="A259" s="109">
        <v>249</v>
      </c>
      <c r="B259" s="125" t="s">
        <v>1283</v>
      </c>
      <c r="C259" s="125" t="s">
        <v>1280</v>
      </c>
      <c r="D259" s="66"/>
      <c r="E259" s="66"/>
      <c r="F259" s="66"/>
      <c r="G259" s="66"/>
      <c r="H259" s="66"/>
      <c r="I259" s="66"/>
      <c r="J259" s="66"/>
      <c r="K259" s="66"/>
      <c r="L259" s="66"/>
    </row>
    <row r="260" spans="1:12">
      <c r="A260" s="109">
        <v>250</v>
      </c>
      <c r="B260" s="124" t="s">
        <v>1284</v>
      </c>
      <c r="C260" s="124" t="s">
        <v>1285</v>
      </c>
      <c r="D260" s="66"/>
      <c r="E260" s="66"/>
      <c r="F260" s="66"/>
      <c r="G260" s="66"/>
      <c r="H260" s="66"/>
      <c r="I260" s="66"/>
      <c r="J260" s="66"/>
      <c r="K260" s="66"/>
      <c r="L260" s="66"/>
    </row>
    <row r="261" spans="1:12">
      <c r="A261" s="109">
        <v>251</v>
      </c>
      <c r="B261" s="124" t="s">
        <v>1286</v>
      </c>
      <c r="C261" s="124" t="s">
        <v>1287</v>
      </c>
      <c r="D261" s="66"/>
      <c r="E261" s="66"/>
      <c r="F261" s="66"/>
      <c r="G261" s="66"/>
      <c r="H261" s="66"/>
      <c r="I261" s="66"/>
      <c r="J261" s="66"/>
      <c r="K261" s="66"/>
      <c r="L261" s="66"/>
    </row>
    <row r="262" spans="1:12">
      <c r="A262" s="109">
        <v>252</v>
      </c>
      <c r="B262" s="124" t="s">
        <v>1288</v>
      </c>
      <c r="C262" s="124" t="s">
        <v>1289</v>
      </c>
      <c r="D262" s="66"/>
      <c r="E262" s="66"/>
      <c r="F262" s="66"/>
      <c r="G262" s="66"/>
      <c r="H262" s="66"/>
      <c r="I262" s="66"/>
      <c r="J262" s="66"/>
      <c r="K262" s="66"/>
      <c r="L262" s="66"/>
    </row>
    <row r="263" spans="1:12">
      <c r="A263" s="109">
        <v>253</v>
      </c>
      <c r="B263" s="110" t="s">
        <v>1314</v>
      </c>
      <c r="C263" s="110" t="s">
        <v>1315</v>
      </c>
      <c r="D263" s="66"/>
      <c r="E263" s="66"/>
      <c r="F263" s="66"/>
      <c r="G263" s="66"/>
      <c r="H263" s="66"/>
      <c r="I263" s="66"/>
      <c r="J263" s="66"/>
      <c r="K263" s="66"/>
      <c r="L263" s="66"/>
    </row>
    <row r="264" spans="1:12">
      <c r="A264" s="109">
        <v>254</v>
      </c>
      <c r="B264" s="7" t="s">
        <v>1353</v>
      </c>
      <c r="C264" s="7" t="s">
        <v>1356</v>
      </c>
      <c r="D264" s="66"/>
      <c r="E264" s="66"/>
      <c r="F264" s="66"/>
      <c r="G264" s="66"/>
      <c r="H264" s="66"/>
      <c r="I264" s="66"/>
      <c r="J264" s="66"/>
      <c r="K264" s="66"/>
      <c r="L264" s="66"/>
    </row>
    <row r="265" spans="1:12">
      <c r="A265" s="109">
        <v>255</v>
      </c>
      <c r="B265" s="110" t="s">
        <v>1300</v>
      </c>
      <c r="C265" s="110" t="s">
        <v>1301</v>
      </c>
      <c r="D265" s="66"/>
      <c r="E265" s="66"/>
      <c r="F265" s="66"/>
      <c r="G265" s="66"/>
      <c r="H265" s="66"/>
      <c r="I265" s="66"/>
      <c r="J265" s="66"/>
      <c r="K265" s="66"/>
      <c r="L265" s="66"/>
    </row>
    <row r="266" spans="1:12">
      <c r="A266" s="109">
        <v>256</v>
      </c>
      <c r="B266" s="110" t="s">
        <v>1319</v>
      </c>
      <c r="C266" s="110" t="s">
        <v>1361</v>
      </c>
      <c r="D266" s="66"/>
      <c r="E266" s="66"/>
      <c r="F266" s="66"/>
      <c r="G266" s="66"/>
      <c r="H266" s="66"/>
      <c r="I266" s="66"/>
      <c r="J266" s="66"/>
      <c r="K266" s="66"/>
      <c r="L266" s="66"/>
    </row>
    <row r="267" spans="1:12">
      <c r="A267" s="109">
        <v>257</v>
      </c>
      <c r="B267" s="66" t="s">
        <v>1307</v>
      </c>
      <c r="C267" s="66" t="s">
        <v>1306</v>
      </c>
      <c r="D267" s="66"/>
      <c r="E267" s="66"/>
      <c r="F267" s="66"/>
      <c r="G267" s="66"/>
      <c r="H267" s="66"/>
      <c r="I267" s="66"/>
      <c r="J267" s="66"/>
      <c r="K267" s="66"/>
      <c r="L267" s="66"/>
    </row>
    <row r="268" spans="1:12" ht="38.25">
      <c r="A268" s="109">
        <v>258</v>
      </c>
      <c r="B268" s="110" t="s">
        <v>1313</v>
      </c>
      <c r="C268" s="117" t="s">
        <v>1312</v>
      </c>
      <c r="D268" s="66"/>
      <c r="E268" s="66"/>
      <c r="F268" s="66"/>
      <c r="G268" s="66"/>
      <c r="H268" s="66"/>
      <c r="I268" s="66"/>
      <c r="J268" s="66"/>
      <c r="K268" s="66"/>
      <c r="L268" s="66"/>
    </row>
    <row r="269" spans="1:12" ht="25.5">
      <c r="A269" s="109">
        <v>259</v>
      </c>
      <c r="B269" s="66" t="s">
        <v>1308</v>
      </c>
      <c r="C269" s="117" t="s">
        <v>1309</v>
      </c>
      <c r="D269" s="66"/>
      <c r="E269" s="66"/>
      <c r="F269" s="66"/>
      <c r="G269" s="66"/>
      <c r="H269" s="66"/>
      <c r="I269" s="66"/>
      <c r="J269" s="66"/>
      <c r="K269" s="66"/>
      <c r="L269" s="66"/>
    </row>
    <row r="270" spans="1:12" ht="25.5">
      <c r="A270" s="109">
        <v>260</v>
      </c>
      <c r="B270" s="66" t="s">
        <v>1310</v>
      </c>
      <c r="C270" s="117" t="s">
        <v>1311</v>
      </c>
      <c r="D270" s="66"/>
      <c r="E270" s="66"/>
      <c r="F270" s="66"/>
      <c r="G270" s="66"/>
      <c r="H270" s="66"/>
      <c r="I270" s="66"/>
      <c r="J270" s="66"/>
      <c r="K270" s="66"/>
      <c r="L270" s="66"/>
    </row>
    <row r="271" spans="1:12">
      <c r="A271" s="109">
        <v>261</v>
      </c>
      <c r="B271" s="110" t="s">
        <v>1317</v>
      </c>
      <c r="C271" s="104" t="s">
        <v>1318</v>
      </c>
      <c r="D271" s="66"/>
      <c r="E271" s="66"/>
      <c r="F271" s="66"/>
      <c r="G271" s="66"/>
      <c r="H271" s="66"/>
      <c r="I271" s="66"/>
      <c r="J271" s="66"/>
      <c r="K271" s="66"/>
      <c r="L271" s="66"/>
    </row>
    <row r="272" spans="1:12">
      <c r="A272" s="109">
        <v>262</v>
      </c>
      <c r="B272" s="110" t="s">
        <v>1290</v>
      </c>
      <c r="C272" s="110" t="s">
        <v>1290</v>
      </c>
      <c r="D272" s="66"/>
      <c r="E272" s="66" t="str">
        <f>$B$3</f>
        <v>Please select!</v>
      </c>
      <c r="F272" s="66"/>
      <c r="G272" s="66"/>
      <c r="H272" s="66"/>
      <c r="I272" s="66"/>
      <c r="J272" s="66"/>
      <c r="K272" s="66"/>
      <c r="L272" s="66"/>
    </row>
    <row r="273" spans="1:12">
      <c r="A273" s="109">
        <v>263</v>
      </c>
      <c r="B273" s="110" t="s">
        <v>1305</v>
      </c>
      <c r="C273" s="110" t="s">
        <v>1305</v>
      </c>
      <c r="D273" s="66"/>
      <c r="E273" s="66" t="str">
        <f>HLOOKUP(Language,Translation,263)</f>
        <v>SOC 2</v>
      </c>
      <c r="F273" s="66"/>
      <c r="G273" s="66"/>
      <c r="H273" s="66"/>
      <c r="I273" s="66"/>
      <c r="J273" s="66"/>
      <c r="K273" s="66"/>
      <c r="L273" s="66"/>
    </row>
    <row r="274" spans="1:12">
      <c r="A274" s="109">
        <v>264</v>
      </c>
      <c r="B274" s="110" t="s">
        <v>1316</v>
      </c>
      <c r="C274" s="110" t="s">
        <v>1316</v>
      </c>
      <c r="D274" s="66"/>
      <c r="E274" s="66" t="str">
        <f>HLOOKUP(Language,Translation,264)</f>
        <v>ISAE 3402</v>
      </c>
      <c r="F274" s="66"/>
      <c r="G274" s="66"/>
      <c r="H274" s="66"/>
      <c r="I274" s="66"/>
      <c r="J274" s="66"/>
      <c r="K274" s="66"/>
      <c r="L274" s="66"/>
    </row>
    <row r="275" spans="1:12">
      <c r="A275" s="109">
        <v>265</v>
      </c>
      <c r="B275" s="110" t="s">
        <v>1291</v>
      </c>
      <c r="C275" s="110" t="s">
        <v>1292</v>
      </c>
      <c r="D275" s="66"/>
      <c r="E275" s="66" t="str">
        <f>HLOOKUP(Language,Translation,265)</f>
        <v>IT Grundschutz BSI</v>
      </c>
      <c r="F275" s="66"/>
      <c r="G275" s="66"/>
      <c r="H275" s="66"/>
      <c r="I275" s="66"/>
      <c r="J275" s="66"/>
      <c r="K275" s="66"/>
      <c r="L275" s="66"/>
    </row>
    <row r="276" spans="1:12">
      <c r="A276" s="109">
        <v>266</v>
      </c>
      <c r="B276" s="110" t="s">
        <v>1322</v>
      </c>
      <c r="C276" s="110" t="s">
        <v>1323</v>
      </c>
      <c r="D276" s="66"/>
      <c r="E276" s="66" t="str">
        <f>HLOOKUP(Language,Translation,266)</f>
        <v>Keine weiteres Verfahren</v>
      </c>
      <c r="F276" s="66"/>
      <c r="G276" s="66"/>
      <c r="H276" s="66"/>
      <c r="I276" s="66"/>
      <c r="J276" s="66"/>
      <c r="K276" s="66"/>
      <c r="L276" s="66"/>
    </row>
    <row r="277" spans="1:12">
      <c r="A277" s="109">
        <v>267</v>
      </c>
      <c r="B277" s="110" t="s">
        <v>1359</v>
      </c>
      <c r="C277" s="110" t="s">
        <v>1360</v>
      </c>
      <c r="D277" s="66"/>
      <c r="E277" s="66"/>
      <c r="F277" s="66"/>
      <c r="G277" s="66"/>
      <c r="H277" s="66"/>
      <c r="I277" s="66"/>
      <c r="J277" s="66"/>
      <c r="K277" s="66"/>
      <c r="L277" s="66"/>
    </row>
    <row r="278" spans="1:12">
      <c r="A278" s="109">
        <v>268</v>
      </c>
      <c r="B278" s="110" t="s">
        <v>1328</v>
      </c>
      <c r="C278" s="110" t="s">
        <v>1330</v>
      </c>
      <c r="D278" s="66"/>
      <c r="E278" s="66"/>
      <c r="F278" s="66"/>
      <c r="G278" s="66"/>
      <c r="H278" s="66"/>
      <c r="I278" s="66"/>
      <c r="J278" s="66"/>
      <c r="K278" s="66"/>
      <c r="L278" s="66"/>
    </row>
    <row r="279" spans="1:12">
      <c r="A279" s="109">
        <v>269</v>
      </c>
      <c r="B279" s="110" t="s">
        <v>1329</v>
      </c>
      <c r="C279" s="66" t="s">
        <v>1331</v>
      </c>
      <c r="D279" s="66"/>
      <c r="E279" s="66"/>
      <c r="F279" s="66"/>
      <c r="G279" s="66"/>
      <c r="H279" s="66"/>
      <c r="I279" s="66"/>
      <c r="J279" s="66"/>
      <c r="K279" s="66"/>
      <c r="L279" s="66"/>
    </row>
    <row r="280" spans="1:12">
      <c r="A280" s="109">
        <v>270</v>
      </c>
      <c r="B280" s="110" t="s">
        <v>1348</v>
      </c>
      <c r="C280" s="110" t="s">
        <v>1349</v>
      </c>
      <c r="D280" s="66"/>
      <c r="E280" s="66"/>
      <c r="F280" s="66"/>
      <c r="G280" s="66"/>
      <c r="H280" s="66"/>
      <c r="I280" s="66"/>
      <c r="J280" s="66"/>
      <c r="K280" s="66"/>
      <c r="L280" s="66"/>
    </row>
    <row r="281" spans="1:12">
      <c r="A281" s="127">
        <v>271</v>
      </c>
      <c r="B281" s="110" t="s">
        <v>1375</v>
      </c>
      <c r="C281" s="110" t="s">
        <v>1374</v>
      </c>
      <c r="D281" s="66"/>
      <c r="E281" s="66"/>
      <c r="F281" s="66"/>
      <c r="G281" s="66"/>
      <c r="H281" s="66"/>
      <c r="I281" s="66"/>
      <c r="J281" s="66"/>
      <c r="K281" s="66"/>
      <c r="L281" s="66"/>
    </row>
    <row r="282" spans="1:12">
      <c r="A282" s="127">
        <v>272</v>
      </c>
      <c r="B282" s="110" t="s">
        <v>1378</v>
      </c>
      <c r="C282" s="110" t="s">
        <v>1379</v>
      </c>
      <c r="D282" s="66"/>
      <c r="E282" s="66"/>
      <c r="F282" s="66"/>
      <c r="G282" s="66"/>
      <c r="H282" s="66"/>
      <c r="I282" s="66"/>
      <c r="J282" s="66"/>
      <c r="K282" s="66"/>
      <c r="L282" s="66"/>
    </row>
    <row r="283" spans="1:12">
      <c r="A283" s="127">
        <v>273</v>
      </c>
      <c r="B283" s="66" t="s">
        <v>1386</v>
      </c>
      <c r="C283" s="66" t="s">
        <v>1385</v>
      </c>
      <c r="D283" s="66"/>
      <c r="E283" s="66"/>
      <c r="F283" s="66"/>
      <c r="G283" s="66"/>
      <c r="H283" s="66"/>
      <c r="I283" s="66"/>
      <c r="J283" s="66"/>
      <c r="K283" s="66"/>
      <c r="L283" s="66"/>
    </row>
    <row r="284" spans="1:12">
      <c r="A284" s="127">
        <v>274</v>
      </c>
      <c r="B284" s="110" t="s">
        <v>1427</v>
      </c>
      <c r="C284" s="110" t="s">
        <v>1427</v>
      </c>
      <c r="D284" s="66"/>
      <c r="E284" s="66"/>
      <c r="F284" s="66"/>
      <c r="G284" s="66"/>
      <c r="H284" s="66"/>
      <c r="I284" s="66"/>
      <c r="J284" s="66"/>
      <c r="K284" s="66"/>
      <c r="L284" s="66"/>
    </row>
    <row r="285" spans="1:12" ht="38.25">
      <c r="A285" s="127">
        <v>275</v>
      </c>
      <c r="B285" s="110" t="s">
        <v>1412</v>
      </c>
      <c r="C285" s="110" t="s">
        <v>1413</v>
      </c>
      <c r="D285" s="66"/>
      <c r="E285" s="66"/>
      <c r="F285" s="66"/>
      <c r="G285" s="66"/>
      <c r="H285" s="66"/>
      <c r="I285" s="66"/>
      <c r="J285" s="66"/>
      <c r="K285" s="66"/>
      <c r="L285" s="66"/>
    </row>
    <row r="286" spans="1:12">
      <c r="A286" s="127">
        <v>276</v>
      </c>
      <c r="B286" s="110" t="s">
        <v>1408</v>
      </c>
      <c r="C286" s="110" t="s">
        <v>1409</v>
      </c>
      <c r="D286" s="66"/>
      <c r="E286" s="66"/>
      <c r="F286" s="66"/>
      <c r="G286" s="66"/>
      <c r="H286" s="66"/>
      <c r="I286" s="66"/>
      <c r="J286" s="66"/>
      <c r="K286" s="66"/>
      <c r="L286" s="66"/>
    </row>
    <row r="287" spans="1:12">
      <c r="A287" s="127">
        <v>277</v>
      </c>
      <c r="B287" s="66"/>
      <c r="C287" s="66"/>
      <c r="D287" s="66"/>
      <c r="E287" s="66"/>
      <c r="F287" s="66"/>
      <c r="G287" s="66"/>
      <c r="H287" s="66"/>
      <c r="I287" s="66"/>
      <c r="J287" s="66"/>
      <c r="K287" s="66"/>
      <c r="L287" s="66"/>
    </row>
    <row r="288" spans="1:12">
      <c r="A288" s="127">
        <v>278</v>
      </c>
      <c r="B288" s="66"/>
      <c r="C288" s="66"/>
      <c r="D288" s="66"/>
      <c r="E288" s="66"/>
      <c r="F288" s="66"/>
      <c r="G288" s="66"/>
      <c r="H288" s="66"/>
      <c r="I288" s="66"/>
      <c r="J288" s="66"/>
      <c r="K288" s="66"/>
      <c r="L288" s="66"/>
    </row>
    <row r="289" spans="1:12">
      <c r="A289" s="127">
        <v>279</v>
      </c>
      <c r="B289" s="66"/>
      <c r="C289" s="66"/>
      <c r="D289" s="66"/>
      <c r="E289" s="66"/>
      <c r="F289" s="66"/>
      <c r="G289" s="66"/>
      <c r="H289" s="66"/>
      <c r="I289" s="66"/>
      <c r="J289" s="66"/>
      <c r="K289" s="66"/>
      <c r="L289" s="66"/>
    </row>
    <row r="290" spans="1:12">
      <c r="A290" s="127">
        <v>280</v>
      </c>
      <c r="B290" s="66"/>
      <c r="C290" s="66"/>
      <c r="D290" s="66"/>
      <c r="E290" s="66"/>
      <c r="F290" s="66"/>
      <c r="G290" s="66"/>
      <c r="H290" s="66"/>
      <c r="I290" s="66"/>
      <c r="J290" s="66"/>
      <c r="K290" s="66"/>
      <c r="L290" s="66"/>
    </row>
    <row r="291" spans="1:12">
      <c r="A291" s="127">
        <v>281</v>
      </c>
      <c r="B291" s="66"/>
      <c r="C291" s="66"/>
      <c r="D291" s="66"/>
      <c r="E291" s="66"/>
      <c r="F291" s="66"/>
      <c r="G291" s="66"/>
      <c r="H291" s="66"/>
      <c r="I291" s="66"/>
      <c r="J291" s="66"/>
      <c r="K291" s="66"/>
      <c r="L291" s="66"/>
    </row>
    <row r="292" spans="1:12">
      <c r="A292" s="127">
        <v>282</v>
      </c>
      <c r="B292" s="66"/>
      <c r="C292" s="66"/>
      <c r="D292" s="66"/>
      <c r="E292" s="66"/>
      <c r="F292" s="66"/>
      <c r="G292" s="66"/>
      <c r="H292" s="66"/>
      <c r="I292" s="66"/>
      <c r="J292" s="66"/>
      <c r="K292" s="66"/>
      <c r="L292" s="66"/>
    </row>
    <row r="293" spans="1:12">
      <c r="A293" s="127">
        <v>283</v>
      </c>
      <c r="B293" s="66"/>
      <c r="C293" s="66"/>
      <c r="D293" s="66"/>
      <c r="E293" s="66"/>
      <c r="F293" s="66"/>
      <c r="G293" s="66"/>
      <c r="H293" s="66"/>
      <c r="I293" s="66"/>
      <c r="J293" s="66"/>
      <c r="K293" s="66"/>
      <c r="L293" s="66"/>
    </row>
    <row r="294" spans="1:12">
      <c r="A294" s="127">
        <v>284</v>
      </c>
      <c r="B294" s="66"/>
      <c r="C294" s="66"/>
      <c r="D294" s="66"/>
      <c r="E294" s="66"/>
      <c r="F294" s="66"/>
      <c r="G294" s="66"/>
      <c r="H294" s="66"/>
      <c r="I294" s="66"/>
      <c r="J294" s="66"/>
      <c r="K294" s="66"/>
      <c r="L294" s="66"/>
    </row>
    <row r="295" spans="1:12">
      <c r="A295" s="127">
        <v>285</v>
      </c>
      <c r="B295" s="66"/>
      <c r="C295" s="66"/>
      <c r="D295" s="66"/>
      <c r="E295" s="66"/>
      <c r="F295" s="66"/>
      <c r="G295" s="66"/>
      <c r="H295" s="66"/>
      <c r="I295" s="66"/>
      <c r="J295" s="66"/>
      <c r="K295" s="66"/>
      <c r="L295" s="66"/>
    </row>
    <row r="296" spans="1:12">
      <c r="A296" s="127">
        <v>286</v>
      </c>
      <c r="B296" s="66"/>
      <c r="C296" s="66"/>
      <c r="D296" s="66"/>
      <c r="E296" s="66"/>
      <c r="F296" s="66"/>
      <c r="G296" s="66"/>
      <c r="H296" s="66"/>
      <c r="I296" s="66"/>
      <c r="J296" s="66"/>
      <c r="K296" s="66"/>
      <c r="L296" s="66"/>
    </row>
    <row r="297" spans="1:12">
      <c r="A297" s="127">
        <v>287</v>
      </c>
      <c r="B297" s="66"/>
      <c r="C297" s="66"/>
      <c r="D297" s="66"/>
      <c r="E297" s="66"/>
      <c r="F297" s="66"/>
      <c r="G297" s="66"/>
      <c r="H297" s="66"/>
      <c r="I297" s="66"/>
      <c r="J297" s="66"/>
      <c r="K297" s="66"/>
      <c r="L297" s="66"/>
    </row>
    <row r="298" spans="1:12">
      <c r="A298" s="127">
        <v>288</v>
      </c>
      <c r="B298" s="66"/>
      <c r="C298" s="66"/>
      <c r="D298" s="66"/>
      <c r="E298" s="66"/>
      <c r="F298" s="66"/>
      <c r="G298" s="66"/>
      <c r="H298" s="66"/>
      <c r="I298" s="66"/>
      <c r="J298" s="66"/>
      <c r="K298" s="66"/>
      <c r="L298" s="66"/>
    </row>
    <row r="299" spans="1:12">
      <c r="A299" s="127">
        <v>289</v>
      </c>
      <c r="B299" s="66"/>
      <c r="C299" s="66"/>
      <c r="D299" s="66"/>
      <c r="E299" s="66"/>
      <c r="F299" s="66"/>
      <c r="G299" s="66"/>
      <c r="H299" s="66"/>
      <c r="I299" s="66"/>
      <c r="J299" s="66"/>
      <c r="K299" s="66"/>
      <c r="L299" s="66"/>
    </row>
    <row r="300" spans="1:12">
      <c r="A300" s="127">
        <v>290</v>
      </c>
      <c r="D300" s="66"/>
      <c r="E300" s="66"/>
      <c r="F300" s="66"/>
      <c r="G300" s="66"/>
      <c r="H300" s="66"/>
      <c r="I300" s="66"/>
      <c r="J300" s="66"/>
      <c r="K300" s="66"/>
      <c r="L300" s="66"/>
    </row>
    <row r="301" spans="1:12">
      <c r="A301" s="127">
        <v>291</v>
      </c>
      <c r="B301" s="66"/>
      <c r="C301" s="66"/>
      <c r="D301" s="66"/>
      <c r="E301" s="66"/>
      <c r="F301" s="66"/>
      <c r="G301" s="66"/>
      <c r="H301" s="66"/>
      <c r="I301" s="66"/>
      <c r="J301" s="66"/>
      <c r="K301" s="66"/>
      <c r="L301" s="66"/>
    </row>
    <row r="302" spans="1:12">
      <c r="A302" s="127">
        <v>292</v>
      </c>
      <c r="B302" s="66"/>
      <c r="C302" s="66"/>
      <c r="D302" s="66"/>
      <c r="E302" s="66"/>
      <c r="F302" s="66"/>
      <c r="G302" s="66"/>
      <c r="H302" s="66"/>
      <c r="I302" s="66"/>
      <c r="J302" s="66"/>
      <c r="K302" s="66"/>
      <c r="L302" s="66"/>
    </row>
    <row r="303" spans="1:12">
      <c r="A303" s="127">
        <v>293</v>
      </c>
      <c r="B303" s="66"/>
      <c r="C303" s="66"/>
      <c r="D303" s="66"/>
      <c r="E303" s="66"/>
      <c r="F303" s="66"/>
      <c r="G303" s="66"/>
      <c r="H303" s="66"/>
      <c r="I303" s="66"/>
      <c r="J303" s="66"/>
      <c r="K303" s="66"/>
      <c r="L303" s="66"/>
    </row>
    <row r="304" spans="1:12">
      <c r="A304" s="127">
        <v>294</v>
      </c>
      <c r="B304" s="66"/>
      <c r="C304" s="66"/>
      <c r="D304" s="66"/>
      <c r="E304" s="66"/>
      <c r="F304" s="66"/>
      <c r="G304" s="66"/>
      <c r="H304" s="66"/>
      <c r="I304" s="66"/>
      <c r="J304" s="66"/>
      <c r="K304" s="66"/>
      <c r="L304" s="66"/>
    </row>
    <row r="305" spans="1:12">
      <c r="A305" s="127">
        <v>295</v>
      </c>
      <c r="B305" s="66"/>
      <c r="C305" s="66"/>
      <c r="D305" s="66"/>
      <c r="E305" s="66"/>
      <c r="F305" s="66"/>
      <c r="G305" s="66"/>
      <c r="H305" s="66"/>
      <c r="I305" s="66"/>
      <c r="J305" s="66"/>
      <c r="K305" s="66"/>
      <c r="L305" s="66"/>
    </row>
    <row r="306" spans="1:12">
      <c r="A306" s="127">
        <v>296</v>
      </c>
      <c r="B306" s="66"/>
      <c r="C306" s="66"/>
      <c r="D306" s="66"/>
      <c r="E306" s="66"/>
      <c r="F306" s="66"/>
      <c r="G306" s="66"/>
      <c r="H306" s="66"/>
      <c r="I306" s="66"/>
      <c r="J306" s="66"/>
      <c r="K306" s="66"/>
      <c r="L306" s="66"/>
    </row>
    <row r="307" spans="1:12">
      <c r="A307" s="127">
        <v>297</v>
      </c>
      <c r="B307" s="66"/>
      <c r="C307" s="66"/>
      <c r="D307" s="66"/>
      <c r="E307" s="66"/>
      <c r="F307" s="66"/>
      <c r="G307" s="66"/>
      <c r="H307" s="66"/>
      <c r="I307" s="66"/>
      <c r="J307" s="66"/>
      <c r="K307" s="66"/>
      <c r="L307" s="66"/>
    </row>
    <row r="308" spans="1:12">
      <c r="A308" s="127">
        <v>298</v>
      </c>
      <c r="B308" s="66"/>
      <c r="C308" s="66"/>
      <c r="D308" s="66"/>
      <c r="E308" s="66"/>
      <c r="F308" s="66"/>
      <c r="G308" s="66"/>
      <c r="H308" s="66"/>
      <c r="I308" s="66"/>
      <c r="J308" s="66"/>
      <c r="K308" s="66"/>
      <c r="L308" s="66"/>
    </row>
    <row r="309" spans="1:12">
      <c r="A309" s="127">
        <v>299</v>
      </c>
      <c r="B309" s="66"/>
      <c r="C309" s="66"/>
      <c r="D309" s="66"/>
      <c r="E309" s="66"/>
      <c r="F309" s="66"/>
      <c r="G309" s="66"/>
      <c r="H309" s="66"/>
      <c r="I309" s="66"/>
      <c r="J309" s="66"/>
      <c r="K309" s="66"/>
      <c r="L309" s="66"/>
    </row>
    <row r="310" spans="1:12">
      <c r="A310" s="127">
        <v>300</v>
      </c>
      <c r="B310" s="66"/>
      <c r="C310" s="66"/>
      <c r="D310" s="66"/>
      <c r="E310" s="66"/>
      <c r="F310" s="66"/>
      <c r="G310" s="66"/>
      <c r="H310" s="66"/>
      <c r="I310" s="66"/>
      <c r="J310" s="66"/>
      <c r="K310" s="66"/>
      <c r="L310" s="66"/>
    </row>
    <row r="311" spans="1:12">
      <c r="A311" s="127">
        <v>301</v>
      </c>
      <c r="B311" s="66"/>
      <c r="C311" s="66"/>
      <c r="D311" s="66"/>
      <c r="E311" s="66"/>
      <c r="F311" s="66"/>
      <c r="G311" s="66"/>
      <c r="H311" s="66"/>
      <c r="I311" s="66"/>
      <c r="J311" s="66"/>
      <c r="K311" s="66"/>
      <c r="L311" s="66"/>
    </row>
    <row r="312" spans="1:12">
      <c r="A312" s="127">
        <v>302</v>
      </c>
      <c r="B312" s="66"/>
      <c r="C312" s="66"/>
      <c r="D312" s="66"/>
      <c r="E312" s="66"/>
      <c r="F312" s="66"/>
      <c r="G312" s="66"/>
      <c r="H312" s="66"/>
      <c r="I312" s="66"/>
      <c r="J312" s="66"/>
      <c r="K312" s="66"/>
      <c r="L312" s="66"/>
    </row>
    <row r="313" spans="1:12">
      <c r="A313" s="127">
        <v>303</v>
      </c>
      <c r="B313" s="66"/>
      <c r="C313" s="66"/>
      <c r="D313" s="66"/>
      <c r="E313" s="66"/>
      <c r="F313" s="66"/>
      <c r="G313" s="66"/>
      <c r="H313" s="66"/>
      <c r="I313" s="66"/>
      <c r="J313" s="66"/>
      <c r="K313" s="66"/>
      <c r="L313" s="66"/>
    </row>
    <row r="314" spans="1:12">
      <c r="A314" s="127">
        <v>304</v>
      </c>
      <c r="B314" s="66"/>
      <c r="C314" s="66"/>
      <c r="D314" s="66"/>
      <c r="E314" s="66"/>
      <c r="F314" s="66"/>
      <c r="G314" s="66"/>
      <c r="H314" s="66"/>
      <c r="I314" s="66"/>
      <c r="J314" s="66"/>
      <c r="K314" s="66"/>
      <c r="L314" s="66"/>
    </row>
    <row r="315" spans="1:12">
      <c r="A315" s="127">
        <v>305</v>
      </c>
      <c r="B315" s="66"/>
      <c r="C315" s="66"/>
      <c r="D315" s="66"/>
      <c r="E315" s="66"/>
      <c r="F315" s="66"/>
      <c r="G315" s="66"/>
      <c r="H315" s="66"/>
      <c r="I315" s="66"/>
      <c r="J315" s="66"/>
      <c r="K315" s="66"/>
      <c r="L315" s="66"/>
    </row>
    <row r="316" spans="1:12">
      <c r="A316" s="127">
        <v>306</v>
      </c>
      <c r="B316" s="66"/>
      <c r="C316" s="66"/>
      <c r="D316" s="66"/>
      <c r="E316" s="66"/>
      <c r="F316" s="66"/>
      <c r="G316" s="66"/>
      <c r="H316" s="66"/>
      <c r="I316" s="66"/>
      <c r="J316" s="66"/>
      <c r="K316" s="66"/>
      <c r="L316" s="66"/>
    </row>
    <row r="317" spans="1:12">
      <c r="A317" s="127">
        <v>307</v>
      </c>
      <c r="B317" s="66"/>
      <c r="C317" s="66"/>
      <c r="D317" s="66"/>
      <c r="E317" s="66"/>
      <c r="F317" s="66"/>
      <c r="G317" s="66"/>
      <c r="H317" s="66"/>
      <c r="I317" s="66"/>
      <c r="J317" s="66"/>
      <c r="K317" s="66"/>
      <c r="L317" s="66"/>
    </row>
    <row r="318" spans="1:12">
      <c r="A318" s="127">
        <v>308</v>
      </c>
      <c r="B318" s="66"/>
      <c r="C318" s="66"/>
      <c r="D318" s="66"/>
      <c r="E318" s="66"/>
      <c r="F318" s="66"/>
      <c r="G318" s="66"/>
      <c r="H318" s="66"/>
      <c r="I318" s="66"/>
      <c r="J318" s="66"/>
      <c r="K318" s="66"/>
      <c r="L318" s="66"/>
    </row>
    <row r="319" spans="1:12">
      <c r="A319" s="127">
        <v>309</v>
      </c>
      <c r="B319" s="66"/>
      <c r="C319" s="66"/>
      <c r="D319" s="66"/>
      <c r="E319" s="66"/>
      <c r="F319" s="66"/>
      <c r="G319" s="66"/>
      <c r="H319" s="66"/>
      <c r="I319" s="66"/>
      <c r="J319" s="66"/>
      <c r="K319" s="66"/>
      <c r="L319" s="66"/>
    </row>
    <row r="320" spans="1:12">
      <c r="A320" s="127">
        <v>310</v>
      </c>
      <c r="B320" s="66"/>
      <c r="C320" s="66"/>
      <c r="D320" s="66"/>
      <c r="E320" s="66"/>
      <c r="F320" s="66"/>
      <c r="G320" s="66"/>
      <c r="H320" s="66"/>
      <c r="I320" s="66"/>
      <c r="J320" s="66"/>
      <c r="K320" s="66"/>
      <c r="L320" s="66"/>
    </row>
    <row r="321" spans="1:12">
      <c r="A321" s="127">
        <v>311</v>
      </c>
      <c r="B321" s="66"/>
      <c r="C321" s="66"/>
      <c r="D321" s="66"/>
      <c r="E321" s="66"/>
      <c r="F321" s="66"/>
      <c r="G321" s="66"/>
      <c r="H321" s="66"/>
      <c r="I321" s="66"/>
      <c r="J321" s="66"/>
      <c r="K321" s="66"/>
      <c r="L321" s="66"/>
    </row>
    <row r="322" spans="1:12">
      <c r="A322" s="127">
        <v>312</v>
      </c>
      <c r="B322" s="66"/>
      <c r="C322" s="66"/>
      <c r="D322" s="66"/>
      <c r="E322" s="66"/>
      <c r="F322" s="66"/>
      <c r="G322" s="66"/>
      <c r="H322" s="66"/>
      <c r="I322" s="66"/>
      <c r="J322" s="66"/>
      <c r="K322" s="66"/>
      <c r="L322" s="66"/>
    </row>
    <row r="323" spans="1:12">
      <c r="A323" s="127">
        <v>313</v>
      </c>
      <c r="B323" s="66"/>
      <c r="C323" s="66"/>
      <c r="D323" s="66"/>
      <c r="E323" s="66"/>
      <c r="F323" s="66"/>
      <c r="G323" s="66"/>
      <c r="H323" s="66"/>
      <c r="I323" s="66"/>
      <c r="J323" s="66"/>
      <c r="K323" s="66"/>
      <c r="L323" s="66"/>
    </row>
    <row r="324" spans="1:12">
      <c r="A324" s="127">
        <v>314</v>
      </c>
      <c r="B324" s="66"/>
      <c r="C324" s="66"/>
      <c r="D324" s="66"/>
      <c r="E324" s="66"/>
      <c r="F324" s="66"/>
      <c r="G324" s="66"/>
      <c r="H324" s="66"/>
      <c r="I324" s="66"/>
      <c r="J324" s="66"/>
      <c r="K324" s="66"/>
      <c r="L324" s="66"/>
    </row>
    <row r="325" spans="1:12">
      <c r="A325" s="127">
        <v>315</v>
      </c>
      <c r="B325" s="66"/>
      <c r="C325" s="66"/>
      <c r="D325" s="66"/>
      <c r="E325" s="66"/>
      <c r="F325" s="66"/>
      <c r="G325" s="66"/>
      <c r="H325" s="66"/>
      <c r="I325" s="66"/>
      <c r="J325" s="66"/>
      <c r="K325" s="66"/>
      <c r="L325" s="66"/>
    </row>
    <row r="326" spans="1:12">
      <c r="A326" s="127">
        <v>316</v>
      </c>
      <c r="B326" s="66"/>
      <c r="C326" s="66"/>
      <c r="D326" s="66"/>
      <c r="E326" s="66"/>
      <c r="F326" s="66"/>
      <c r="G326" s="66"/>
      <c r="H326" s="66"/>
      <c r="I326" s="66"/>
      <c r="J326" s="66"/>
      <c r="K326" s="66"/>
      <c r="L326" s="66"/>
    </row>
    <row r="327" spans="1:12">
      <c r="A327" s="127">
        <v>317</v>
      </c>
      <c r="B327" s="66"/>
      <c r="C327" s="66"/>
      <c r="D327" s="66"/>
      <c r="E327" s="66"/>
      <c r="F327" s="66"/>
      <c r="G327" s="66"/>
      <c r="H327" s="66"/>
      <c r="I327" s="66"/>
      <c r="J327" s="66"/>
      <c r="K327" s="66"/>
      <c r="L327" s="66"/>
    </row>
    <row r="328" spans="1:12">
      <c r="A328" s="127">
        <v>318</v>
      </c>
      <c r="B328" s="66"/>
      <c r="C328" s="66"/>
      <c r="D328" s="66"/>
      <c r="E328" s="66"/>
      <c r="F328" s="66"/>
      <c r="G328" s="66"/>
      <c r="H328" s="66"/>
      <c r="I328" s="66"/>
      <c r="J328" s="66"/>
      <c r="K328" s="66"/>
      <c r="L328" s="66"/>
    </row>
    <row r="329" spans="1:12">
      <c r="A329" s="127">
        <v>319</v>
      </c>
      <c r="B329" s="66"/>
      <c r="C329" s="66"/>
      <c r="D329" s="66"/>
      <c r="E329" s="66"/>
      <c r="F329" s="66"/>
      <c r="G329" s="66"/>
      <c r="H329" s="66"/>
      <c r="I329" s="66"/>
      <c r="J329" s="66"/>
      <c r="K329" s="66"/>
      <c r="L329" s="66"/>
    </row>
    <row r="330" spans="1:12">
      <c r="A330" s="127">
        <v>320</v>
      </c>
      <c r="B330" s="66"/>
      <c r="C330" s="66"/>
      <c r="D330" s="66"/>
      <c r="E330" s="66"/>
      <c r="F330" s="66"/>
      <c r="G330" s="66"/>
      <c r="H330" s="66"/>
      <c r="I330" s="66"/>
      <c r="J330" s="66"/>
      <c r="K330" s="66"/>
      <c r="L330" s="66"/>
    </row>
    <row r="331" spans="1:12">
      <c r="A331" s="127">
        <v>321</v>
      </c>
      <c r="B331" s="66"/>
      <c r="C331" s="66"/>
      <c r="D331" s="66"/>
      <c r="E331" s="66"/>
      <c r="F331" s="66"/>
      <c r="G331" s="66"/>
      <c r="H331" s="66"/>
      <c r="I331" s="66"/>
      <c r="J331" s="66"/>
      <c r="K331" s="66"/>
      <c r="L331" s="66"/>
    </row>
    <row r="332" spans="1:12">
      <c r="A332" s="127">
        <v>322</v>
      </c>
      <c r="B332" s="66"/>
      <c r="C332" s="66"/>
      <c r="D332" s="66"/>
      <c r="E332" s="66"/>
      <c r="F332" s="66"/>
      <c r="G332" s="66"/>
      <c r="H332" s="66"/>
      <c r="I332" s="66"/>
      <c r="J332" s="66"/>
      <c r="K332" s="66"/>
      <c r="L332" s="66"/>
    </row>
    <row r="333" spans="1:12">
      <c r="A333" s="127">
        <v>323</v>
      </c>
      <c r="B333" s="66"/>
      <c r="C333" s="66"/>
      <c r="D333" s="66"/>
      <c r="E333" s="66"/>
      <c r="F333" s="66"/>
      <c r="G333" s="66"/>
      <c r="H333" s="66"/>
      <c r="I333" s="66"/>
      <c r="J333" s="66"/>
      <c r="K333" s="66"/>
      <c r="L333" s="66"/>
    </row>
    <row r="334" spans="1:12">
      <c r="A334" s="127">
        <v>324</v>
      </c>
      <c r="B334" s="66"/>
      <c r="C334" s="66"/>
      <c r="D334" s="66"/>
      <c r="E334" s="66"/>
      <c r="F334" s="66"/>
      <c r="G334" s="66"/>
      <c r="H334" s="66"/>
      <c r="I334" s="66"/>
      <c r="J334" s="66"/>
      <c r="K334" s="66"/>
      <c r="L334" s="66"/>
    </row>
    <row r="335" spans="1:12">
      <c r="A335" s="127">
        <v>325</v>
      </c>
      <c r="B335" s="66"/>
      <c r="C335" s="66"/>
      <c r="D335" s="66"/>
      <c r="E335" s="66"/>
      <c r="F335" s="66"/>
      <c r="G335" s="66"/>
      <c r="H335" s="66"/>
      <c r="I335" s="66"/>
      <c r="J335" s="66"/>
      <c r="K335" s="66"/>
      <c r="L335" s="66"/>
    </row>
  </sheetData>
  <sheetProtection sheet="1" objects="1" scenarios="1"/>
  <mergeCells count="1">
    <mergeCell ref="N6:O6"/>
  </mergeCells>
  <conditionalFormatting sqref="N4">
    <cfRule type="cellIs" dxfId="5" priority="7" stopIfTrue="1" operator="equal">
      <formula>"The total number of points is not sufficient."</formula>
    </cfRule>
    <cfRule type="cellIs" dxfId="4" priority="8" stopIfTrue="1" operator="equal">
      <formula>"The total number of points is sufficient."</formula>
    </cfRule>
  </conditionalFormatting>
  <conditionalFormatting sqref="O4">
    <cfRule type="cellIs" dxfId="3" priority="5" stopIfTrue="1" operator="equal">
      <formula>"Dealbreaker"</formula>
    </cfRule>
    <cfRule type="cellIs" dxfId="2" priority="6" stopIfTrue="1" operator="equal">
      <formula>"All dealbreaker passed"</formula>
    </cfRule>
  </conditionalFormatting>
  <conditionalFormatting sqref="N6">
    <cfRule type="cellIs" dxfId="1" priority="1" stopIfTrue="1" operator="equal">
      <formula>HLOOKUP(Language,Translation,244)</formula>
    </cfRule>
    <cfRule type="cellIs" dxfId="0" priority="2" stopIfTrue="1" operator="equal">
      <formula>HLOOKUP(Language,Translation,243)</formula>
    </cfRule>
  </conditionalFormatting>
  <dataValidations disablePrompts="1" count="1">
    <dataValidation type="list" allowBlank="1" showInputMessage="1" showErrorMessage="1" sqref="F171 F188:F189 F191:F192 F180 F182 F184 F163 F165 F167 F169" xr:uid="{8054BDBE-3E40-4D09-9BF2-C7ABC7B1F1FE}">
      <formula1>$W$11:$W$14</formula1>
    </dataValidation>
  </dataValidations>
  <pageMargins left="0.7" right="0.7" top="0.78740157499999996" bottom="0.78740157499999996" header="0.3" footer="0.3"/>
  <pageSetup paperSize="9" orientation="portrait" r:id="rId1"/>
  <rowBreaks count="3" manualBreakCount="3">
    <brk id="50" max="16383" man="1"/>
    <brk id="110" max="16383" man="1"/>
    <brk id="147" max="16383" man="1"/>
  </rowBreaks>
  <colBreaks count="1" manualBreakCount="1">
    <brk id="3" max="1048575" man="1"/>
  </col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6EF8-C445-416F-883E-9BE4EC4BB06A}">
  <dimension ref="A2:D20"/>
  <sheetViews>
    <sheetView workbookViewId="0">
      <selection activeCell="C7" sqref="C7"/>
    </sheetView>
  </sheetViews>
  <sheetFormatPr baseColWidth="10" defaultColWidth="11.42578125" defaultRowHeight="12.75"/>
  <cols>
    <col min="2" max="2" width="7.85546875" customWidth="1"/>
    <col min="3" max="3" width="78.7109375" bestFit="1" customWidth="1"/>
    <col min="4" max="4" width="29.7109375" customWidth="1"/>
  </cols>
  <sheetData>
    <row r="2" spans="1:4" ht="13.5" thickBot="1"/>
    <row r="3" spans="1:4" ht="15.75">
      <c r="A3" s="586" t="s">
        <v>378</v>
      </c>
      <c r="B3" s="587"/>
      <c r="C3" s="587"/>
      <c r="D3" s="588"/>
    </row>
    <row r="4" spans="1:4" ht="13.5" thickBot="1">
      <c r="A4" s="74" t="s">
        <v>26</v>
      </c>
      <c r="B4" s="75" t="s">
        <v>379</v>
      </c>
      <c r="C4" s="75" t="s">
        <v>380</v>
      </c>
      <c r="D4" s="76" t="s">
        <v>381</v>
      </c>
    </row>
    <row r="5" spans="1:4">
      <c r="A5" s="71"/>
      <c r="B5" s="72"/>
      <c r="C5" s="72"/>
      <c r="D5" s="73"/>
    </row>
    <row r="6" spans="1:4">
      <c r="A6" s="77">
        <v>44280</v>
      </c>
      <c r="B6" s="88" t="s">
        <v>1380</v>
      </c>
      <c r="C6" s="78" t="s">
        <v>1381</v>
      </c>
      <c r="D6" s="98" t="s">
        <v>1368</v>
      </c>
    </row>
    <row r="7" spans="1:4">
      <c r="A7" s="77"/>
      <c r="B7" s="88"/>
      <c r="C7" s="91"/>
      <c r="D7" s="92"/>
    </row>
    <row r="8" spans="1:4">
      <c r="A8" s="77"/>
      <c r="B8" s="88"/>
      <c r="C8" s="91"/>
      <c r="D8" s="92"/>
    </row>
    <row r="9" spans="1:4">
      <c r="A9" s="77"/>
      <c r="B9" s="93"/>
      <c r="C9" s="99"/>
      <c r="D9" s="98"/>
    </row>
    <row r="10" spans="1:4">
      <c r="A10" s="89"/>
      <c r="B10" s="67"/>
      <c r="C10" s="67"/>
      <c r="D10" s="68"/>
    </row>
    <row r="11" spans="1:4">
      <c r="A11" s="89"/>
      <c r="B11" s="67"/>
      <c r="C11" s="67"/>
      <c r="D11" s="68"/>
    </row>
    <row r="12" spans="1:4">
      <c r="A12" s="89"/>
      <c r="B12" s="67"/>
      <c r="C12" s="67"/>
      <c r="D12" s="68"/>
    </row>
    <row r="13" spans="1:4">
      <c r="A13" s="89"/>
      <c r="B13" s="67"/>
      <c r="C13" s="67"/>
      <c r="D13" s="68"/>
    </row>
    <row r="14" spans="1:4">
      <c r="A14" s="89"/>
      <c r="B14" s="67"/>
      <c r="C14" s="67"/>
      <c r="D14" s="68"/>
    </row>
    <row r="15" spans="1:4">
      <c r="A15" s="89"/>
      <c r="B15" s="67"/>
      <c r="C15" s="67"/>
      <c r="D15" s="68"/>
    </row>
    <row r="16" spans="1:4">
      <c r="A16" s="89"/>
      <c r="B16" s="67"/>
      <c r="C16" s="67"/>
      <c r="D16" s="68"/>
    </row>
    <row r="17" spans="1:4">
      <c r="A17" s="89"/>
      <c r="B17" s="67"/>
      <c r="C17" s="67"/>
      <c r="D17" s="68"/>
    </row>
    <row r="18" spans="1:4">
      <c r="A18" s="89"/>
      <c r="B18" s="67"/>
      <c r="C18" s="67"/>
      <c r="D18" s="68"/>
    </row>
    <row r="19" spans="1:4">
      <c r="A19" s="89"/>
      <c r="B19" s="67"/>
      <c r="C19" s="67"/>
      <c r="D19" s="68"/>
    </row>
    <row r="20" spans="1:4">
      <c r="A20" s="90"/>
      <c r="B20" s="69"/>
      <c r="C20" s="69"/>
      <c r="D20" s="70"/>
    </row>
  </sheetData>
  <mergeCells count="1">
    <mergeCell ref="A3:D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24</vt:i4>
      </vt:variant>
    </vt:vector>
  </HeadingPairs>
  <TitlesOfParts>
    <vt:vector size="31" baseType="lpstr">
      <vt:lpstr>Info &amp; Language</vt:lpstr>
      <vt:lpstr>A Profile &amp; Portfolio</vt:lpstr>
      <vt:lpstr>B Financial &amp; C Quality</vt:lpstr>
      <vt:lpstr>C HSE Evaluation</vt:lpstr>
      <vt:lpstr>D Social Responsibility</vt:lpstr>
      <vt:lpstr>Language table</vt:lpstr>
      <vt:lpstr>Change history</vt:lpstr>
      <vt:lpstr>Approval</vt:lpstr>
      <vt:lpstr>Currency</vt:lpstr>
      <vt:lpstr>'A Profile &amp; Portfolio'!Druckbereich</vt:lpstr>
      <vt:lpstr>'B Financial &amp; C Quality'!Druckbereich</vt:lpstr>
      <vt:lpstr>'C HSE Evaluation'!Druckbereich</vt:lpstr>
      <vt:lpstr>'D Social Responsibility'!Druckbereich</vt:lpstr>
      <vt:lpstr>'Info &amp; Language'!Druckbereich</vt:lpstr>
      <vt:lpstr>'Language table'!Druckbereich</vt:lpstr>
      <vt:lpstr>'C HSE Evaluation'!Drucktitel</vt:lpstr>
      <vt:lpstr>'D Social Responsibility'!Drucktitel</vt:lpstr>
      <vt:lpstr>'Info &amp; Language'!Drucktitel</vt:lpstr>
      <vt:lpstr>Incoterms</vt:lpstr>
      <vt:lpstr>ITsecurity</vt:lpstr>
      <vt:lpstr>Language</vt:lpstr>
      <vt:lpstr>Payment</vt:lpstr>
      <vt:lpstr>Rating</vt:lpstr>
      <vt:lpstr>Requirements</vt:lpstr>
      <vt:lpstr>Selection</vt:lpstr>
      <vt:lpstr>Selection2</vt:lpstr>
      <vt:lpstr>TC</vt:lpstr>
      <vt:lpstr>TCname</vt:lpstr>
      <vt:lpstr>Translation</vt:lpstr>
      <vt:lpstr>Usage</vt:lpstr>
      <vt:lpstr>VendorClass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2021-05-12T11:47:11Z</dcterms:created>
  <dcterms:modified xsi:type="dcterms:W3CDTF">2021-06-02T10:23:01Z</dcterms:modified>
</cp:coreProperties>
</file>